
<file path=[Content_Types].xml><?xml version="1.0" encoding="utf-8"?>
<Types xmlns="http://schemas.openxmlformats.org/package/2006/content-types">
  <Default ContentType="application/vnd.openxmlformats-officedocument.vmlDrawing" Extension="vml"/>
  <Default ContentType="application/xml" Extension="xml"/>
  <Default ContentType="image/png" Extension="png"/>
  <Default ContentType="application/vnd.openxmlformats-package.relationships+xml" Extension="rels"/>
  <Override ContentType="application/vnd.openxmlformats-officedocument.spreadsheetml.table+xml" PartName="/xl/tables/table1.xml"/>
  <Override ContentType="application/vnd.openxmlformats-officedocument.spreadsheetml.worksheet+xml" PartName="/xl/worksheets/sheet5.xml"/>
  <Override ContentType="application/vnd.openxmlformats-officedocument.spreadsheetml.worksheet+xml" PartName="/xl/worksheets/sheet4.xml"/>
  <Override ContentType="application/vnd.openxmlformats-officedocument.spreadsheetml.worksheet+xml" PartName="/xl/worksheets/sheet1.xml"/>
  <Override ContentType="application/vnd.openxmlformats-officedocument.spreadsheetml.worksheet+xml" PartName="/xl/worksheets/sheet2.xml"/>
  <Override ContentType="application/vnd.openxmlformats-officedocument.spreadsheetml.worksheet+xml" PartName="/xl/worksheets/sheet3.xml"/>
  <Override ContentType="application/vnd.openxmlformats-officedocument.spreadsheetml.worksheet+xml" PartName="/xl/worksheets/sheet6.xml"/>
  <Override ContentType="application/vnd.openxmlformats-officedocument.spreadsheetml.worksheet+xml" PartName="/xl/worksheets/sheet8.xml"/>
  <Override ContentType="application/vnd.openxmlformats-officedocument.spreadsheetml.worksheet+xml" PartName="/xl/worksheets/sheet7.xml"/>
  <Override ContentType="application/vnd.openxmlformats-officedocument.spreadsheetml.sharedStrings+xml" PartName="/xl/sharedStrings.xml"/>
  <Override ContentType="application/vnd.openxmlformats-officedocument.drawing+xml" PartName="/xl/drawings/drawing4.xml"/>
  <Override ContentType="application/vnd.openxmlformats-officedocument.drawing+xml" PartName="/xl/drawings/drawing8.xml"/>
  <Override ContentType="application/vnd.openxmlformats-officedocument.drawing+xml" PartName="/xl/drawings/drawing3.xml"/>
  <Override ContentType="application/vnd.openxmlformats-officedocument.drawing+xml" PartName="/xl/drawings/drawing6.xml"/>
  <Override ContentType="application/vnd.openxmlformats-officedocument.drawing+xml" PartName="/xl/drawings/drawing5.xml"/>
  <Override ContentType="application/vnd.openxmlformats-officedocument.drawing+xml" PartName="/xl/drawings/drawing1.xml"/>
  <Override ContentType="application/vnd.openxmlformats-officedocument.drawing+xml" PartName="/xl/drawings/drawing7.xml"/>
  <Override ContentType="application/vnd.openxmlformats-officedocument.drawing+xml" PartName="/xl/drawings/drawing2.xml"/>
  <Override ContentType="application/vnd.openxmlformats-officedocument.spreadsheetml.styles+xml" PartName="/xl/styles.xml"/>
  <Override ContentType="application/vnd.openxmlformats-officedocument.spreadsheetml.comments+xml" PartName="/xl/comments1.xml"/>
  <Override ContentType="application/vnd.openxmlformats-officedocument.spreadsheetml.comments+xml" PartName="/xl/comments2.xml"/>
  <Override ContentType="application/vnd.openxmlformats-officedocument.theme+xml" PartName="/xl/theme/theme1.xml"/>
  <Override ContentType="application/vnd.openxmlformats-officedocument.spreadsheetml.sheet.main+xml" PartName="/xl/workbook.xml"/>
</Types>
</file>

<file path=_rels/.rels><?xml version="1.0" encoding="UTF-8" standalone="yes"?><Relationships xmlns="http://schemas.openxmlformats.org/package/2006/relationships"><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workbookPr/>
  <sheets>
    <sheet state="visible" name="TotK Armor Upgrade Sheet" sheetId="1" r:id="rId4"/>
    <sheet state="visible" name="Tracker" sheetId="2" r:id="rId5"/>
    <sheet state="visible" name="Totals" sheetId="3" r:id="rId6"/>
    <sheet state="hidden" name="Armor" sheetId="4" r:id="rId7"/>
    <sheet state="hidden" name="MatID" sheetId="5" r:id="rId8"/>
    <sheet state="hidden" name="Mats" sheetId="6" r:id="rId9"/>
    <sheet state="hidden" name="Costs" sheetId="7" r:id="rId10"/>
    <sheet state="hidden" name="Tally" sheetId="8" r:id="rId11"/>
  </sheets>
  <definedNames>
    <definedName hidden="1" localSheetId="1" name="_xlnm._FilterDatabase">Tracker!$F$1:$J$137</definedName>
    <definedName hidden="1" localSheetId="2" name="_xlnm._FilterDatabase">Totals!$F$1:$F$174</definedName>
  </definedNames>
  <calcPr/>
</workbook>
</file>

<file path=xl/comments1.xml><?xml version="1.0" encoding="utf-8"?>
<comments xmlns:r="http://schemas.openxmlformats.org/officeDocument/2006/relationships" xmlns="http://schemas.openxmlformats.org/spreadsheetml/2006/main">
  <authors>
    <author/>
  </authors>
  <commentList>
    <comment authorId="0" ref="C91">
      <text>
        <t xml:space="preserve">Lowered</t>
      </text>
    </comment>
  </commentList>
</comments>
</file>

<file path=xl/comments2.xml><?xml version="1.0" encoding="utf-8"?>
<comments xmlns:r="http://schemas.openxmlformats.org/officeDocument/2006/relationships" xmlns="http://schemas.openxmlformats.org/spreadsheetml/2006/main">
  <authors>
    <author/>
  </authors>
  <commentList>
    <comment authorId="0" ref="B138">
      <text>
        <t xml:space="preserve">Lowered</t>
      </text>
    </comment>
  </commentList>
</comments>
</file>

<file path=xl/sharedStrings.xml><?xml version="1.0" encoding="utf-8"?>
<sst xmlns="http://schemas.openxmlformats.org/spreadsheetml/2006/main" count="2591" uniqueCount="865">
  <si>
    <t>Welcome to YOUR</t>
  </si>
  <si>
    <t>TotK Amor Upgrade Sheet</t>
  </si>
  <si>
    <t>Version 1.0</t>
  </si>
  <si>
    <t>by Austin John Plays</t>
  </si>
  <si>
    <t>HOW TO USE</t>
  </si>
  <si>
    <t>Tracker</t>
  </si>
  <si>
    <t>This page has a list for all of your armor in the game.</t>
  </si>
  <si>
    <t>Sorting:</t>
  </si>
  <si>
    <t>ID column (A) has every piece of armor in menu order - I suggest sorting by that.</t>
  </si>
  <si>
    <t>Marking:</t>
  </si>
  <si>
    <t>Column F is obtained. Put an (X) in it to mark it. Same goes for upgrading in column G:J</t>
  </si>
  <si>
    <t>Tally</t>
  </si>
  <si>
    <t>If you want to use the "Remain" counter on the Totals page then delete the cell when that piece is upgraded. Example: Clear out L4 when the Hylian hood is as 1star. That will reduce the "Remain" amount on the Totals page by 5 less Bokoblin Horns</t>
  </si>
  <si>
    <t>Totals</t>
  </si>
  <si>
    <t>Amount</t>
  </si>
  <si>
    <t>You may want to get ever piece of armor in the game and stockpile all matereals to upgrade it all at once. Or just know how long to ride a dragon for. This page is a full total matereals required for all armor.</t>
  </si>
  <si>
    <t>Remain</t>
  </si>
  <si>
    <t>If you delete cells from the Tracker page (column L,N,P, and R) then those matereals will be deducted from the remain column. You can Click the Filter Icon in F1 to filter out anything that is now 0</t>
  </si>
  <si>
    <t>CREDITS</t>
  </si>
  <si>
    <t>I compiled all of the infromation and upgrade cost myself over the course of my playtime. Video guides for most armor sets avilable at this playlist:</t>
  </si>
  <si>
    <t>https://www.youtube.com/playlist?list=PLwGyU0mZTYHWYnzWXEuqVSO4nLO9F53Um</t>
  </si>
  <si>
    <t>Thank you to out friends at Zelda Universe/Zelda Maps for datamine of sprites as hosting of this Google Sheet</t>
  </si>
  <si>
    <t>Thank you to Echocolat's datamine which was used for cross-referencing matereal costs.</t>
  </si>
  <si>
    <t>Thank you to KingdomKiler who helped with Sheets Coding.</t>
  </si>
  <si>
    <t>If there are any issues, please tweet me @AustinJohnPlays to let me know.</t>
  </si>
  <si>
    <t>FaQ</t>
  </si>
  <si>
    <t>If you accidently delete a cell and don't remember the mats needed, you can copy a cell above or below and it will populate correctly. Example: If you Cleared L4, you can copy L5 to L4 and it will be fixed)</t>
  </si>
  <si>
    <t>Customize</t>
  </si>
  <si>
    <t>If you want to delete columns you don't need to clean this up, feel free to delete on Tracker Page (B, C, F-J, K, M, O, Q, or S)</t>
  </si>
  <si>
    <t>Updates</t>
  </si>
  <si>
    <t>Future game updates/DLC may result in updated Sheets.</t>
  </si>
  <si>
    <t>Hood Down</t>
  </si>
  <si>
    <t>If you only want ONE Hylian hood, and NOT one up and one down, just delete ALL of Row 6 on Tracker Page.</t>
  </si>
  <si>
    <t>ID</t>
  </si>
  <si>
    <t>Set</t>
  </si>
  <si>
    <t>Body</t>
  </si>
  <si>
    <t>Armor Piece</t>
  </si>
  <si>
    <t>Icon</t>
  </si>
  <si>
    <t>Obtained</t>
  </si>
  <si>
    <t>★</t>
  </si>
  <si>
    <t>★★</t>
  </si>
  <si>
    <t>★★★</t>
  </si>
  <si>
    <t>★★★★</t>
  </si>
  <si>
    <t>Base D</t>
  </si>
  <si>
    <t>★ 10R
Unless Stated</t>
  </si>
  <si>
    <t>★D</t>
  </si>
  <si>
    <t>★★ 50R
Unless Stated</t>
  </si>
  <si>
    <t>★★D</t>
  </si>
  <si>
    <t>★★★ 200R
Unless Stated</t>
  </si>
  <si>
    <t>★★★D</t>
  </si>
  <si>
    <t>★★★★ 500R
Unless Stated</t>
  </si>
  <si>
    <t>★★★★D</t>
  </si>
  <si>
    <t>Archaic</t>
  </si>
  <si>
    <t>upper</t>
  </si>
  <si>
    <t>Archaic Tunic</t>
  </si>
  <si>
    <t>N/A</t>
  </si>
  <si>
    <t>lower</t>
  </si>
  <si>
    <t>Archaic Legwear</t>
  </si>
  <si>
    <t>Archaic Warm Greaves</t>
  </si>
  <si>
    <t>Hylian</t>
  </si>
  <si>
    <t>head</t>
  </si>
  <si>
    <t>Hylian Hood</t>
  </si>
  <si>
    <t>Hylian Hood Down</t>
  </si>
  <si>
    <t>Hylian Tunic</t>
  </si>
  <si>
    <t>Hylian Trousers</t>
  </si>
  <si>
    <t>Soldier's</t>
  </si>
  <si>
    <t>Soldier's Helm</t>
  </si>
  <si>
    <t>Soldier's Armor</t>
  </si>
  <si>
    <t>Soldier's Greaves</t>
  </si>
  <si>
    <t>Snowquill</t>
  </si>
  <si>
    <t>Snowquill Headdress</t>
  </si>
  <si>
    <t>Snowquill Tunic</t>
  </si>
  <si>
    <t>Snowquill Trousers</t>
  </si>
  <si>
    <t>Flamebreaker</t>
  </si>
  <si>
    <t>Flamebreaker Helm</t>
  </si>
  <si>
    <t>Flamebreaker Armor</t>
  </si>
  <si>
    <t>Flamebreaker Boots</t>
  </si>
  <si>
    <t>Zora</t>
  </si>
  <si>
    <t>Zora Helm</t>
  </si>
  <si>
    <t>Zora Armor</t>
  </si>
  <si>
    <t>Zora Greaves</t>
  </si>
  <si>
    <t>Desert Voe</t>
  </si>
  <si>
    <t>Desert Voe Headband</t>
  </si>
  <si>
    <t>Desert Voe Spaulder</t>
  </si>
  <si>
    <t>Desert Voe Trousers</t>
  </si>
  <si>
    <t>Rubber</t>
  </si>
  <si>
    <t>Rubber Helm</t>
  </si>
  <si>
    <t>Rubber Armor</t>
  </si>
  <si>
    <t>Rubber Tights</t>
  </si>
  <si>
    <t>Stealth</t>
  </si>
  <si>
    <t>Stealth Mask</t>
  </si>
  <si>
    <t>Stealth Chest Guard</t>
  </si>
  <si>
    <t>Stealth Tights</t>
  </si>
  <si>
    <t>Climbing Gear</t>
  </si>
  <si>
    <t>Climber's Bandanna</t>
  </si>
  <si>
    <t>Climbing Boots</t>
  </si>
  <si>
    <t>Barbarian</t>
  </si>
  <si>
    <t>Barbarian Helm</t>
  </si>
  <si>
    <t>Barbarian Armor</t>
  </si>
  <si>
    <t>Barbarian Leg Wraps</t>
  </si>
  <si>
    <t>Radiant</t>
  </si>
  <si>
    <t>Radiant Mask</t>
  </si>
  <si>
    <t>Radiant Shirt</t>
  </si>
  <si>
    <t>Radiant Tights</t>
  </si>
  <si>
    <t>Royal Guard</t>
  </si>
  <si>
    <t>Royal Guard Cap</t>
  </si>
  <si>
    <t>Royal Guard Uniform</t>
  </si>
  <si>
    <t>Royal Guard Boots</t>
  </si>
  <si>
    <t>Froggy</t>
  </si>
  <si>
    <t>Froggy Hood</t>
  </si>
  <si>
    <t>Froggy Sleeve</t>
  </si>
  <si>
    <t>Froggy Leggings</t>
  </si>
  <si>
    <t>Glide</t>
  </si>
  <si>
    <t>Glide Mask</t>
  </si>
  <si>
    <t>Glide Shirt</t>
  </si>
  <si>
    <t>Glide Tights</t>
  </si>
  <si>
    <t>Depths</t>
  </si>
  <si>
    <t>Hood of the Depths</t>
  </si>
  <si>
    <t>Tunic of the Depths</t>
  </si>
  <si>
    <t>Gaiters of the Depths</t>
  </si>
  <si>
    <t>Miner's</t>
  </si>
  <si>
    <t>Miner's Mask</t>
  </si>
  <si>
    <t>Miner's Trousers</t>
  </si>
  <si>
    <t>Miner's Top</t>
  </si>
  <si>
    <t>Mystic</t>
  </si>
  <si>
    <t>Mystic Headpiece</t>
  </si>
  <si>
    <t>Mystic Robe</t>
  </si>
  <si>
    <t>Mystic Trousers</t>
  </si>
  <si>
    <t>Ember</t>
  </si>
  <si>
    <t>Ember Headdress</t>
  </si>
  <si>
    <t>Ember Shirt</t>
  </si>
  <si>
    <t>Ember Trousers</t>
  </si>
  <si>
    <t>Charged</t>
  </si>
  <si>
    <t>Charged Headdress</t>
  </si>
  <si>
    <t>Charged Shirt</t>
  </si>
  <si>
    <t>Charged Trousers</t>
  </si>
  <si>
    <t>Frostbite</t>
  </si>
  <si>
    <t>Frostbite Headdress</t>
  </si>
  <si>
    <t>Frostbite Shirt</t>
  </si>
  <si>
    <t>Frostbite Trousers</t>
  </si>
  <si>
    <t>Yiga</t>
  </si>
  <si>
    <t>Yiga Mask</t>
  </si>
  <si>
    <t>Yiga Tights</t>
  </si>
  <si>
    <t>Yiga Armor</t>
  </si>
  <si>
    <t>Vah Rudania Divine Helm</t>
  </si>
  <si>
    <t>Vah Medoh Divine Helm</t>
  </si>
  <si>
    <t>Vah Naboris Divine Helm</t>
  </si>
  <si>
    <t>Vah Ruta Divine Helm</t>
  </si>
  <si>
    <t>Zonaite</t>
  </si>
  <si>
    <t>Zonaite Helm</t>
  </si>
  <si>
    <t>Zonaite Waistguard</t>
  </si>
  <si>
    <t>Zonaite Shin Guards</t>
  </si>
  <si>
    <t>Amber Earrings</t>
  </si>
  <si>
    <t>Diamond Circlet</t>
  </si>
  <si>
    <t>Ruby Circlet</t>
  </si>
  <si>
    <t>Sapphire Circlet</t>
  </si>
  <si>
    <t>Topaz Earrings</t>
  </si>
  <si>
    <t>Opal Earrings</t>
  </si>
  <si>
    <t>Well-Worn Hair Band</t>
  </si>
  <si>
    <t>Cece Hat</t>
  </si>
  <si>
    <t>Lightning Helm</t>
  </si>
  <si>
    <t>Sand Boots</t>
  </si>
  <si>
    <t>Snow Boots</t>
  </si>
  <si>
    <t>Bokoblin Mask</t>
  </si>
  <si>
    <t>Horriblin Mask</t>
  </si>
  <si>
    <t>Lizalfos Mask</t>
  </si>
  <si>
    <t>Lynel Mask</t>
  </si>
  <si>
    <t>Moblin Mask</t>
  </si>
  <si>
    <t>Tunic of Memories</t>
  </si>
  <si>
    <t>Champion's Leathers</t>
  </si>
  <si>
    <t>Island Lobster Shirt</t>
  </si>
  <si>
    <t>Ravio's Hood</t>
  </si>
  <si>
    <t>Zant's Helmet</t>
  </si>
  <si>
    <t>Midna's Helmet</t>
  </si>
  <si>
    <t>Majora's Mask</t>
  </si>
  <si>
    <t>Korok Mask</t>
  </si>
  <si>
    <t>Tingle</t>
  </si>
  <si>
    <t>Tingle's Hood</t>
  </si>
  <si>
    <t>Tingle's Shirt</t>
  </si>
  <si>
    <t>Tingle's Tights</t>
  </si>
  <si>
    <t>Phantom</t>
  </si>
  <si>
    <t>Phantom Helmet</t>
  </si>
  <si>
    <t>Phantom Armor</t>
  </si>
  <si>
    <t>Phantom Greaves</t>
  </si>
  <si>
    <t>Evil Spirit</t>
  </si>
  <si>
    <t>Evil Spirit Mask</t>
  </si>
  <si>
    <t>Evil Spirit Armor</t>
  </si>
  <si>
    <t>Evil Spirit Greaves</t>
  </si>
  <si>
    <t>Sheik's Mask</t>
  </si>
  <si>
    <t>Dark</t>
  </si>
  <si>
    <t>Dark Hood</t>
  </si>
  <si>
    <t>Dark Tunic</t>
  </si>
  <si>
    <t>Dark Trousers</t>
  </si>
  <si>
    <t>Fierce Deity</t>
  </si>
  <si>
    <t>Fierce Deity Mask</t>
  </si>
  <si>
    <t>Fierce Deity Armor</t>
  </si>
  <si>
    <t>Fierce Deity Boots</t>
  </si>
  <si>
    <t>Awakening</t>
  </si>
  <si>
    <t>Mask of Awakening</t>
  </si>
  <si>
    <t>Tunic of Awakening</t>
  </si>
  <si>
    <t>Trousers of Awakening</t>
  </si>
  <si>
    <t>Wild</t>
  </si>
  <si>
    <t>Cap of the Wild</t>
  </si>
  <si>
    <t>Tunic of the Wild</t>
  </si>
  <si>
    <t>Trousers of the Wild</t>
  </si>
  <si>
    <t>Hero</t>
  </si>
  <si>
    <t>Cap of the Hero</t>
  </si>
  <si>
    <t>Tunic of the Hero</t>
  </si>
  <si>
    <t>Trousers of the Hero</t>
  </si>
  <si>
    <t>Time</t>
  </si>
  <si>
    <t>Cap of Time</t>
  </si>
  <si>
    <t>Tunic of Time</t>
  </si>
  <si>
    <t>Trousers of Time</t>
  </si>
  <si>
    <t>Wind</t>
  </si>
  <si>
    <t>Cap of the Wind</t>
  </si>
  <si>
    <t>Tunic of the Wind</t>
  </si>
  <si>
    <t>Trousers of the Wind</t>
  </si>
  <si>
    <t>Twilight</t>
  </si>
  <si>
    <t>Cap of Twilight</t>
  </si>
  <si>
    <t>Tunic of Twilight</t>
  </si>
  <si>
    <t>Trousers of Twilight</t>
  </si>
  <si>
    <t>Sky</t>
  </si>
  <si>
    <t>Cap of the Sky</t>
  </si>
  <si>
    <t>Tunic of the Sky</t>
  </si>
  <si>
    <t>Trousers of the Sky</t>
  </si>
  <si>
    <t>Ancient Hero</t>
  </si>
  <si>
    <t>whole</t>
  </si>
  <si>
    <t>Ancient Hero's Aspect</t>
  </si>
  <si>
    <t>Cat</t>
  </si>
  <si>
    <t>Cat Name</t>
  </si>
  <si>
    <t>Monster matereals</t>
  </si>
  <si>
    <t>Dazzlefruit</t>
  </si>
  <si>
    <t>Fire Fruit</t>
  </si>
  <si>
    <t>Ice Fruit</t>
  </si>
  <si>
    <t>Mighty Bananas</t>
  </si>
  <si>
    <t>Shock Fruit</t>
  </si>
  <si>
    <t>Voltfruit</t>
  </si>
  <si>
    <t>Brightcap</t>
  </si>
  <si>
    <t>Chillshroom</t>
  </si>
  <si>
    <t>Puffshroom</t>
  </si>
  <si>
    <t>Razorshroom</t>
  </si>
  <si>
    <t>Rushroom</t>
  </si>
  <si>
    <t>Silent Shroom</t>
  </si>
  <si>
    <t>Sunshroom</t>
  </si>
  <si>
    <t>Zapshroom</t>
  </si>
  <si>
    <t>Blue Nightshade</t>
  </si>
  <si>
    <t>Cool Safflina</t>
  </si>
  <si>
    <t>Electric Safflina</t>
  </si>
  <si>
    <t>Mighty Thistle</t>
  </si>
  <si>
    <t>Silent Princess</t>
  </si>
  <si>
    <t>Sundelion</t>
  </si>
  <si>
    <t>Swift Carrot</t>
  </si>
  <si>
    <t>Swift Violet</t>
  </si>
  <si>
    <t>Warm Safflina</t>
  </si>
  <si>
    <t>Acorn</t>
  </si>
  <si>
    <t>Courser Bee Honey</t>
  </si>
  <si>
    <t>Dark Clump</t>
  </si>
  <si>
    <t>Star Fragment</t>
  </si>
  <si>
    <t>Chillfin Trout</t>
  </si>
  <si>
    <t>Glowing Cave Fish</t>
  </si>
  <si>
    <t>Hearty Bass</t>
  </si>
  <si>
    <t>Hyrule Bass</t>
  </si>
  <si>
    <t>Sizzlefin Trout</t>
  </si>
  <si>
    <t>Stealthfin Trout</t>
  </si>
  <si>
    <t>Voltfin Trout</t>
  </si>
  <si>
    <t>Bladed Rhino Beetle</t>
  </si>
  <si>
    <t>Cold Darner</t>
  </si>
  <si>
    <t>Deep Firefly</t>
  </si>
  <si>
    <t>Electric Darner</t>
  </si>
  <si>
    <t>Energetic Rhino Beetle</t>
  </si>
  <si>
    <t>Fireproof Lizard</t>
  </si>
  <si>
    <t>Hearty Lizard</t>
  </si>
  <si>
    <t>Hightail Lizard</t>
  </si>
  <si>
    <t>Hot-Footed Frog</t>
  </si>
  <si>
    <t>Razorclaw Crab</t>
  </si>
  <si>
    <t>Smotherwing Butterfly</t>
  </si>
  <si>
    <t>Sneaky River Snail</t>
  </si>
  <si>
    <t>Sticky Frog</t>
  </si>
  <si>
    <t>Sticky Lizard</t>
  </si>
  <si>
    <t>Summerwing Butterfly</t>
  </si>
  <si>
    <t>Sunset Firefly</t>
  </si>
  <si>
    <t>Thunderwing Butterfly</t>
  </si>
  <si>
    <t>Warm Darner</t>
  </si>
  <si>
    <t>Winterwing Butterfly</t>
  </si>
  <si>
    <t>Amber</t>
  </si>
  <si>
    <t>Diamond</t>
  </si>
  <si>
    <t>Flint</t>
  </si>
  <si>
    <t>Luminous Stone</t>
  </si>
  <si>
    <t>Opal</t>
  </si>
  <si>
    <t>Ruby</t>
  </si>
  <si>
    <t>Sapphire</t>
  </si>
  <si>
    <t>Topaz</t>
  </si>
  <si>
    <t>Bokoblin Guts</t>
  </si>
  <si>
    <t>Boss Bokoblin Guts</t>
  </si>
  <si>
    <t>Frox Guts</t>
  </si>
  <si>
    <t>Gibdo Guts</t>
  </si>
  <si>
    <t>Gleeok Guts</t>
  </si>
  <si>
    <t>Hinox Guts</t>
  </si>
  <si>
    <t>Horriblin Guts</t>
  </si>
  <si>
    <t>Lynel Guts</t>
  </si>
  <si>
    <t>Moblin Guts</t>
  </si>
  <si>
    <t>Molduga Guts</t>
  </si>
  <si>
    <t>Chuchu Jelly</t>
  </si>
  <si>
    <t>Red Chuchu Jelly</t>
  </si>
  <si>
    <t>White Chuchu Jelly</t>
  </si>
  <si>
    <t>Yellow Chuchu Jelly</t>
  </si>
  <si>
    <t>Octo Balloon</t>
  </si>
  <si>
    <t>Aerocuda Eyeball</t>
  </si>
  <si>
    <t>Keese Eyeball</t>
  </si>
  <si>
    <t>Octorok Eyeball</t>
  </si>
  <si>
    <t>Aerocuda Wing</t>
  </si>
  <si>
    <t>Electric Keese Wing</t>
  </si>
  <si>
    <t>Fire Keese Wing</t>
  </si>
  <si>
    <t>Gibdo Wing</t>
  </si>
  <si>
    <t>Gleeok Wing</t>
  </si>
  <si>
    <t>Ice Keese Wing</t>
  </si>
  <si>
    <t>Keese Wing</t>
  </si>
  <si>
    <t>Molduga Fin</t>
  </si>
  <si>
    <t>Black Bokoblin Horn</t>
  </si>
  <si>
    <t>Blue Bokoblin Horn</t>
  </si>
  <si>
    <t>Bokoblin Horn</t>
  </si>
  <si>
    <t>Silver Bokoblin Horn</t>
  </si>
  <si>
    <t>Black Boss Bokoblin Horn</t>
  </si>
  <si>
    <t>Blue Boss Bokoblin Horn</t>
  </si>
  <si>
    <t>Boss Bokoblin Horn</t>
  </si>
  <si>
    <t>Silver Boss Bokoblin Horn</t>
  </si>
  <si>
    <t>Black Lizalfos Horn</t>
  </si>
  <si>
    <t>Blue Lizalfos Horn</t>
  </si>
  <si>
    <t>Electric Lizalfos Horn</t>
  </si>
  <si>
    <t>Fire-Breath Lizalfos Horn</t>
  </si>
  <si>
    <t>Ice-Breath Lizalfos Horn</t>
  </si>
  <si>
    <t>Lizalfos Horn</t>
  </si>
  <si>
    <t>Silver Lizalfos Horn</t>
  </si>
  <si>
    <t>Blue-Maned Lynel Saber Horn</t>
  </si>
  <si>
    <t>Lynel Saber Horn</t>
  </si>
  <si>
    <t>Silver Lynel Saber Horn</t>
  </si>
  <si>
    <t>White-Maned Lynel Saber Horn</t>
  </si>
  <si>
    <t>Captain Construct I Horn</t>
  </si>
  <si>
    <t>Captain Construct II Horn</t>
  </si>
  <si>
    <t>Captain Construct III Horn</t>
  </si>
  <si>
    <t>Soldier Construct II Horn</t>
  </si>
  <si>
    <t>Soldier Construct III Horn</t>
  </si>
  <si>
    <t>Soldier Construct IV Horn</t>
  </si>
  <si>
    <t>Soldier Construct Horn</t>
  </si>
  <si>
    <t>Hinox Toenail</t>
  </si>
  <si>
    <t>Gleeok Flame Horn</t>
  </si>
  <si>
    <t>Gleeok Frost Horn</t>
  </si>
  <si>
    <t>Gleeok Thunder Horn</t>
  </si>
  <si>
    <t>Dinraal's Horn</t>
  </si>
  <si>
    <t>Farosh's Horn</t>
  </si>
  <si>
    <t>Light Dragon's Horn</t>
  </si>
  <si>
    <t>Naydra's Horn</t>
  </si>
  <si>
    <t>Fire Like Stone</t>
  </si>
  <si>
    <t>Ice Like Stone</t>
  </si>
  <si>
    <t>Shock Like Stone</t>
  </si>
  <si>
    <t>Black Moblin Horn</t>
  </si>
  <si>
    <t>Blue Moblin Horn</t>
  </si>
  <si>
    <t>Moblin Horn</t>
  </si>
  <si>
    <t>Silver Moblin Horn</t>
  </si>
  <si>
    <t>Black Horriblin Horn</t>
  </si>
  <si>
    <t>Blue Horriblin Horn</t>
  </si>
  <si>
    <t>Horriblin Horn</t>
  </si>
  <si>
    <t>Blue-Maned Lynel Mace Horn</t>
  </si>
  <si>
    <t>Lynel Hoof</t>
  </si>
  <si>
    <t>Lynel Mace Horn</t>
  </si>
  <si>
    <t>Silver Lynel Mace Horn</t>
  </si>
  <si>
    <t>White-Maned Lynel Mace Horn</t>
  </si>
  <si>
    <t>Black Hinox Horn</t>
  </si>
  <si>
    <t>Molduga Jaw</t>
  </si>
  <si>
    <t>Blue-White Frox Fang</t>
  </si>
  <si>
    <t>Frox Fang</t>
  </si>
  <si>
    <t>Obsidian Frox Fang</t>
  </si>
  <si>
    <t>Shard of Dinraal's Spike</t>
  </si>
  <si>
    <t>Shard of Farosh's Spike</t>
  </si>
  <si>
    <t>Shard of Naydra's Spike</t>
  </si>
  <si>
    <t>Blue Lizalfos Tail</t>
  </si>
  <si>
    <t>Electric Lizalfos Tail</t>
  </si>
  <si>
    <t>Fire-Breath Lizalfos Tail</t>
  </si>
  <si>
    <t>Ice-Breath Lizalfos Tail</t>
  </si>
  <si>
    <t>Lizalfos Tail</t>
  </si>
  <si>
    <t>Gibdo Bone</t>
  </si>
  <si>
    <t>Octorok Tentacle</t>
  </si>
  <si>
    <t>Bokoblin Fang</t>
  </si>
  <si>
    <t>Hinox Tooth</t>
  </si>
  <si>
    <t>Moblin Fang</t>
  </si>
  <si>
    <t>Frox Fingernail</t>
  </si>
  <si>
    <t>Lizalfos Talon</t>
  </si>
  <si>
    <t>Dinraal's Scale</t>
  </si>
  <si>
    <t>Farosh's Scale</t>
  </si>
  <si>
    <t>Light Dragon's Scale</t>
  </si>
  <si>
    <t>Naydra's Scale</t>
  </si>
  <si>
    <t>Dinraal's Claw</t>
  </si>
  <si>
    <t>Farosh's Claw</t>
  </si>
  <si>
    <t>Light Dragon's Talon</t>
  </si>
  <si>
    <t>Naydra's Claw</t>
  </si>
  <si>
    <t>Shard of Dinraal's Fang</t>
  </si>
  <si>
    <t>Shard of Farosh's Fang</t>
  </si>
  <si>
    <t>Shard of Light Dragon's Fang</t>
  </si>
  <si>
    <t>Shard of Naydra's Fang</t>
  </si>
  <si>
    <t>Brightbloom Seed</t>
  </si>
  <si>
    <t>Giant Brightbloom Seed</t>
  </si>
  <si>
    <t>Large Zonai Charge</t>
  </si>
  <si>
    <t>Large Zonaite</t>
  </si>
  <si>
    <t>Sprite ID</t>
  </si>
  <si>
    <t>Name</t>
  </si>
  <si>
    <t>Base Defense</t>
  </si>
  <si>
    <t>Defense ★</t>
  </si>
  <si>
    <t>Defense ★★</t>
  </si>
  <si>
    <t>Defense ★★★</t>
  </si>
  <si>
    <t>Defense ★★★★</t>
  </si>
  <si>
    <t>Armor_001_Head</t>
  </si>
  <si>
    <t>Armor_001_Lower</t>
  </si>
  <si>
    <t>Armor_001_Upper</t>
  </si>
  <si>
    <t>Armor_005_Head</t>
  </si>
  <si>
    <t>Armor_005_Lower</t>
  </si>
  <si>
    <t>Armor_005_Upper</t>
  </si>
  <si>
    <t>Armor_006_Head</t>
  </si>
  <si>
    <t>Armor_006_Lower</t>
  </si>
  <si>
    <t>Armor_006_Upper</t>
  </si>
  <si>
    <t>Armor_008_Head</t>
  </si>
  <si>
    <t>Armor_008_Lower</t>
  </si>
  <si>
    <t>Armor_008_Upper</t>
  </si>
  <si>
    <t>Armor_009_Head</t>
  </si>
  <si>
    <t>Armor_009_Lower</t>
  </si>
  <si>
    <t>Armor_009_Upper</t>
  </si>
  <si>
    <t>Armor_011_Head</t>
  </si>
  <si>
    <t>Armor_011_Lower</t>
  </si>
  <si>
    <t>Armor_011_Upper</t>
  </si>
  <si>
    <t>Armor_012_Head</t>
  </si>
  <si>
    <t>Armor_012_Lower</t>
  </si>
  <si>
    <t>Armor_012_Upper</t>
  </si>
  <si>
    <t>Armor_014_Head</t>
  </si>
  <si>
    <t>Armor_014_Lower</t>
  </si>
  <si>
    <t>Armor_014_Upper</t>
  </si>
  <si>
    <t>Armor_017_Head</t>
  </si>
  <si>
    <t>Armor_017_Lower</t>
  </si>
  <si>
    <t>Armor_017_Upper</t>
  </si>
  <si>
    <t>Armor_020_Head</t>
  </si>
  <si>
    <t>Armor_020_Lower</t>
  </si>
  <si>
    <t>Armor_020_Upper</t>
  </si>
  <si>
    <t>Armor_022_Head</t>
  </si>
  <si>
    <t>Armor_024_Head</t>
  </si>
  <si>
    <t>Armor_025_Head</t>
  </si>
  <si>
    <t>Armor_026_Head</t>
  </si>
  <si>
    <t>Armor_027_Head</t>
  </si>
  <si>
    <t>Armor_028_Head</t>
  </si>
  <si>
    <t>Armor_029_Head</t>
  </si>
  <si>
    <t>Armor_045_Head</t>
  </si>
  <si>
    <t>Armor_046_Head</t>
  </si>
  <si>
    <t>Armor_046_Lower</t>
  </si>
  <si>
    <t>Armor_046_Upper</t>
  </si>
  <si>
    <t>Armor_048_Head</t>
  </si>
  <si>
    <t>Armor_048_Lower</t>
  </si>
  <si>
    <t>Armor_048_Upper</t>
  </si>
  <si>
    <t>Armor_049_Lower</t>
  </si>
  <si>
    <t>Armor_055_Head</t>
  </si>
  <si>
    <t>Armor_056_Head</t>
  </si>
  <si>
    <t>Armor_1006_Head</t>
  </si>
  <si>
    <t>Armor_1006_Lower</t>
  </si>
  <si>
    <t>Armor_1006_Upper</t>
  </si>
  <si>
    <t>Armor_1036_Head</t>
  </si>
  <si>
    <t>Armor_1036_Lower</t>
  </si>
  <si>
    <t>Armor_1036_Upper</t>
  </si>
  <si>
    <t>Armor_1043_Lower</t>
  </si>
  <si>
    <t>Armor_1043_Upper</t>
  </si>
  <si>
    <t>Armor_1044_Lower</t>
  </si>
  <si>
    <t>Armor_1046_Head</t>
  </si>
  <si>
    <t>Armor_1046_Lower</t>
  </si>
  <si>
    <t>Armor_1046_Upper</t>
  </si>
  <si>
    <t>Armor_1051_Head</t>
  </si>
  <si>
    <t>Armor_1051_Lower</t>
  </si>
  <si>
    <t>Armor_1051_Upper</t>
  </si>
  <si>
    <t>Armor_1061_Head</t>
  </si>
  <si>
    <t>Armor_1061_Lower</t>
  </si>
  <si>
    <t>Armor_1061_Upper</t>
  </si>
  <si>
    <t>Armor_1066_Head</t>
  </si>
  <si>
    <t>Armor_1066_Lower</t>
  </si>
  <si>
    <t>Armor_1066_Upper</t>
  </si>
  <si>
    <t>Armor_1071_Head</t>
  </si>
  <si>
    <t>Armor_1071_Lower</t>
  </si>
  <si>
    <t>Armor_1071_Upper</t>
  </si>
  <si>
    <t>Armor_1076_Head</t>
  </si>
  <si>
    <t>Armor_1086_Head</t>
  </si>
  <si>
    <t>Armor_1086_Lower</t>
  </si>
  <si>
    <t>Armor_1086_Upper</t>
  </si>
  <si>
    <t>Armor_1091_Head</t>
  </si>
  <si>
    <t>Armor_1091_Lower</t>
  </si>
  <si>
    <t>Armor_1091_Upper</t>
  </si>
  <si>
    <t>Armor_1096_Head</t>
  </si>
  <si>
    <t>Armor_1096_Lower</t>
  </si>
  <si>
    <t>Armor_1096_Upper</t>
  </si>
  <si>
    <t>Armor_1106_Upper</t>
  </si>
  <si>
    <t>Armor_1125_Head</t>
  </si>
  <si>
    <t>Armor_1141_Head</t>
  </si>
  <si>
    <t>Armor_1141_Lower</t>
  </si>
  <si>
    <t>Armor_1141_Upper</t>
  </si>
  <si>
    <t>Armor_115_Head</t>
  </si>
  <si>
    <t>Armor_1151_Head</t>
  </si>
  <si>
    <t>Armor_1152_Head</t>
  </si>
  <si>
    <t>Armor_116_Upper</t>
  </si>
  <si>
    <t>Armor_1300_Head</t>
  </si>
  <si>
    <t>Armor_1300_Lower</t>
  </si>
  <si>
    <t>Armor_1300_Upper</t>
  </si>
  <si>
    <t>Armor_141_Lower</t>
  </si>
  <si>
    <t>Armor_160_Head</t>
  </si>
  <si>
    <t>Armor_160_Lower</t>
  </si>
  <si>
    <t>Armor_160_Upper</t>
  </si>
  <si>
    <t>Armor_171_Head</t>
  </si>
  <si>
    <t>Armor_171_Lower</t>
  </si>
  <si>
    <t>Armor_171_Upper</t>
  </si>
  <si>
    <t>Armor_172_Head</t>
  </si>
  <si>
    <t>Armor_173_Head</t>
  </si>
  <si>
    <t>Armor_174_Head</t>
  </si>
  <si>
    <t>Armor_174_Lower</t>
  </si>
  <si>
    <t>Armor_174_Upper</t>
  </si>
  <si>
    <t>Armor_175_Upper</t>
  </si>
  <si>
    <t>Armor_176_Head</t>
  </si>
  <si>
    <t>Armor_177_Head</t>
  </si>
  <si>
    <t>Armor_178_Head</t>
  </si>
  <si>
    <t>Armor_179_Head</t>
  </si>
  <si>
    <t>Armor_179_Lower</t>
  </si>
  <si>
    <t>Armor_179_Upper</t>
  </si>
  <si>
    <t>Armor_180_Head</t>
  </si>
  <si>
    <t>Armor_180_Lower</t>
  </si>
  <si>
    <t>Armor_180_Upper</t>
  </si>
  <si>
    <t>Armor_181_Head</t>
  </si>
  <si>
    <t>Armor_182_Head</t>
  </si>
  <si>
    <t>Armor_183_Head</t>
  </si>
  <si>
    <t>Armor_184_Head</t>
  </si>
  <si>
    <t>Armor_200_Head</t>
  </si>
  <si>
    <t>Armor_200_Lower</t>
  </si>
  <si>
    <t>Armor_200_Upper</t>
  </si>
  <si>
    <t>Armor_205_Head</t>
  </si>
  <si>
    <t>Armor_205_Lower</t>
  </si>
  <si>
    <t>Armor_205_Upper</t>
  </si>
  <si>
    <t>Armor_210_Head</t>
  </si>
  <si>
    <t>Armor_210_Lower</t>
  </si>
  <si>
    <t>Armor_210_Upper</t>
  </si>
  <si>
    <t>Armor_215_Head</t>
  </si>
  <si>
    <t>Armor_215_Lower</t>
  </si>
  <si>
    <t>Armor_215_Upper</t>
  </si>
  <si>
    <t>Armor_220_Head</t>
  </si>
  <si>
    <t>Armor_225_Head</t>
  </si>
  <si>
    <t>Armor_225_Lower</t>
  </si>
  <si>
    <t>Armor_225_Upper</t>
  </si>
  <si>
    <t>Armor_230_Head</t>
  </si>
  <si>
    <t>Armor_230_Lower</t>
  </si>
  <si>
    <t>Armor_230_Upper</t>
  </si>
  <si>
    <t>fruit</t>
  </si>
  <si>
    <t>Apple</t>
  </si>
  <si>
    <t>Bomb Flower</t>
  </si>
  <si>
    <t>Fleet-Lotus Seeds</t>
  </si>
  <si>
    <t>Golden Apple</t>
  </si>
  <si>
    <t>Hydromelon</t>
  </si>
  <si>
    <t>Hylian Tomato</t>
  </si>
  <si>
    <t>Muddle Bud</t>
  </si>
  <si>
    <t>Palm Fruit</t>
  </si>
  <si>
    <t>Spicy Pepper</t>
  </si>
  <si>
    <t>Splash Fruit</t>
  </si>
  <si>
    <t>Wildberry</t>
  </si>
  <si>
    <t>mushroom</t>
  </si>
  <si>
    <t>Big Hearty Truffle</t>
  </si>
  <si>
    <t>Endura Shroom</t>
  </si>
  <si>
    <t>Hearty Truffle</t>
  </si>
  <si>
    <t>Hylian Shroom</t>
  </si>
  <si>
    <t>Ironshroom</t>
  </si>
  <si>
    <t>Skyshroom</t>
  </si>
  <si>
    <t>Stamella Shroom</t>
  </si>
  <si>
    <t>greens</t>
  </si>
  <si>
    <t>Armoranth</t>
  </si>
  <si>
    <t>Big Hearty Radish</t>
  </si>
  <si>
    <t>Endura Carrot</t>
  </si>
  <si>
    <t>Fortified Pumpkin</t>
  </si>
  <si>
    <t>Hearty Radish</t>
  </si>
  <si>
    <t>Hyrule Herb</t>
  </si>
  <si>
    <t>Korok Frond</t>
  </si>
  <si>
    <t>Stambulb</t>
  </si>
  <si>
    <t>meat</t>
  </si>
  <si>
    <t>Raw Bird Drumstick</t>
  </si>
  <si>
    <t>Raw Bird Thigh</t>
  </si>
  <si>
    <t>Raw Gourmet Meat</t>
  </si>
  <si>
    <t>Raw Meat</t>
  </si>
  <si>
    <t>Raw Prime Meat</t>
  </si>
  <si>
    <t>Raw Whole Bird</t>
  </si>
  <si>
    <t>Seasoning</t>
  </si>
  <si>
    <t>Bird Egg</t>
  </si>
  <si>
    <t>Cane Sugar</t>
  </si>
  <si>
    <t>Chickaloo Tree Nut</t>
  </si>
  <si>
    <t>Fairy</t>
  </si>
  <si>
    <t>Fresh Milk</t>
  </si>
  <si>
    <t>Goat Butter</t>
  </si>
  <si>
    <t>Goron Spice</t>
  </si>
  <si>
    <t>Hateno Cheese</t>
  </si>
  <si>
    <t>Monster Extract</t>
  </si>
  <si>
    <t>Oil Jar</t>
  </si>
  <si>
    <t>Rock salt</t>
  </si>
  <si>
    <t>Tabantha Wheat</t>
  </si>
  <si>
    <t>Fish</t>
  </si>
  <si>
    <t>Ancient Arowana</t>
  </si>
  <si>
    <t>Armored Carp</t>
  </si>
  <si>
    <t>Armored Porgy</t>
  </si>
  <si>
    <t>Hearty Salmon</t>
  </si>
  <si>
    <t>Mighty Carp</t>
  </si>
  <si>
    <t>Mighty Porgy</t>
  </si>
  <si>
    <t>Sanke Carp</t>
  </si>
  <si>
    <t>Staminoka Bass</t>
  </si>
  <si>
    <t>critters</t>
  </si>
  <si>
    <t>Bright-Eyed Crab</t>
  </si>
  <si>
    <t>Ironshell Crab</t>
  </si>
  <si>
    <t>Restless Cricket</t>
  </si>
  <si>
    <t>Rugged Rhino Beetle</t>
  </si>
  <si>
    <t>Tireless Frog</t>
  </si>
  <si>
    <t>ore</t>
  </si>
  <si>
    <t>Mob-Guts</t>
  </si>
  <si>
    <t>Mob-Jelly</t>
  </si>
  <si>
    <t>Mob-Balloon</t>
  </si>
  <si>
    <t>Mob-Eyeball</t>
  </si>
  <si>
    <t>Mob-Wing</t>
  </si>
  <si>
    <t>Mob-Fin</t>
  </si>
  <si>
    <t>Mob-Bokoblin Horn</t>
  </si>
  <si>
    <t>Mob-Boss Bokoblin Horn</t>
  </si>
  <si>
    <t>Mob-Lizalfos Horn</t>
  </si>
  <si>
    <t>Mob-Lynel Horn</t>
  </si>
  <si>
    <t>Mob-Construct Horn</t>
  </si>
  <si>
    <t>Mob-Toenail</t>
  </si>
  <si>
    <t>Mob-Gleeok Horn</t>
  </si>
  <si>
    <t>Mob-Dragon Horn</t>
  </si>
  <si>
    <t>Mob-Stone</t>
  </si>
  <si>
    <t>Mob-Moblin Horn</t>
  </si>
  <si>
    <t>Mob-Horriblin Horn</t>
  </si>
  <si>
    <t>Mob-Hoof</t>
  </si>
  <si>
    <t>Mob-Hinox Horn</t>
  </si>
  <si>
    <t>Mob-Jaw</t>
  </si>
  <si>
    <t>Mob-Fang</t>
  </si>
  <si>
    <t>Mob-Spike</t>
  </si>
  <si>
    <t>Mob-Tail</t>
  </si>
  <si>
    <t>Mob-Bone</t>
  </si>
  <si>
    <t>Mob-Tentacle</t>
  </si>
  <si>
    <t>Mob-Tooth</t>
  </si>
  <si>
    <t>Mob-Fingernail</t>
  </si>
  <si>
    <t>Mob-Talon</t>
  </si>
  <si>
    <t>Mob-Scale</t>
  </si>
  <si>
    <t>Mob-Claw</t>
  </si>
  <si>
    <t>misc</t>
  </si>
  <si>
    <t>Ancient Blade</t>
  </si>
  <si>
    <t>Hylian Pine Cone</t>
  </si>
  <si>
    <t>King's Scale</t>
  </si>
  <si>
    <t>Wood</t>
  </si>
  <si>
    <t>Zonai</t>
  </si>
  <si>
    <t>Zonai Charge</t>
  </si>
  <si>
    <t>Sprite</t>
  </si>
  <si>
    <t>Black Lizalfos Tail</t>
  </si>
  <si>
    <t>Blue Hinox Horn</t>
  </si>
  <si>
    <t>Boss Bokoblin Fang</t>
  </si>
  <si>
    <t>Captain Construct IV Horn</t>
  </si>
  <si>
    <t>Electric Keese Eyeball</t>
  </si>
  <si>
    <t>Fire Keese Eyeball</t>
  </si>
  <si>
    <t>Hinox Horn</t>
  </si>
  <si>
    <t>Horriblin Claw</t>
  </si>
  <si>
    <t>Hylian Rice</t>
  </si>
  <si>
    <t>Ice Keese Eyeball</t>
  </si>
  <si>
    <t>Like Like Stone</t>
  </si>
  <si>
    <t>Rock Salt</t>
  </si>
  <si>
    <t>Shard of Light Dragon's Spike</t>
  </si>
  <si>
    <t>Silver Horriblin Horn</t>
  </si>
  <si>
    <t>Silver Lizalfos Tail</t>
  </si>
  <si>
    <t>Stalnox Horn</t>
  </si>
  <si>
    <t>Sun Pumpkin</t>
  </si>
  <si>
    <t>1 star</t>
  </si>
  <si>
    <t>2 star</t>
  </si>
  <si>
    <t>3 star</t>
  </si>
  <si>
    <t>4 star</t>
  </si>
  <si>
    <t>5 Bokoblin Horn</t>
  </si>
  <si>
    <t>5 Blue Bokoblin Horn
3 Bokoblin Fang</t>
  </si>
  <si>
    <t>5 Black Bokoblin Horn
3 Bokoblin Guts
20 Amber</t>
  </si>
  <si>
    <t>5 Silver Bokoblin Horn
5 Bokoblin Guts
30 Amber</t>
  </si>
  <si>
    <t>5 Chuchu Jelly
3 Bokoblin Guts</t>
  </si>
  <si>
    <t>5 Keese Eyeball
3 Moblin Guts</t>
  </si>
  <si>
    <t>3 Lizalfos Tail
3 Hinox Guts
30 Flint</t>
  </si>
  <si>
    <t>5 Lynel Hoof
5 Lynel Guts
30 Amber</t>
  </si>
  <si>
    <t>3 Red Chuchu Jelly</t>
  </si>
  <si>
    <t>5 Red Chuchu Jelly
3 Warm Safflina</t>
  </si>
  <si>
    <t>5 Fire Keese Wing
3 Fire-Breath Lizalfos Tail
5 Sunshroom</t>
  </si>
  <si>
    <t>5 Fire-Breath Lizalfos Horn
10 Fire-Breath Lizalfos Tail
5 Ruby</t>
  </si>
  <si>
    <t>3 Moblin Horn</t>
  </si>
  <si>
    <t>5 Moblin Fang
5 Fireproof Lizard</t>
  </si>
  <si>
    <t>5 Blue Moblin Horn
3 Smotherwing Butterfly
15 Flint</t>
  </si>
  <si>
    <t>5 Black Moblin Horn
5 Smotherwing Butterfly
30 Flint</t>
  </si>
  <si>
    <t>3 Lizalfos Horn</t>
  </si>
  <si>
    <t>5 Lizalfos Talon
5 Hyrule Bass</t>
  </si>
  <si>
    <t>5 Blue Lizalfos Horn
3 Lizalfos Tail
3 Hearty Bass</t>
  </si>
  <si>
    <t>5 Black Lizalfos Horn
5 Blue Lizalfos Tail
20 Opal</t>
  </si>
  <si>
    <t>3 White Chuchu Jelly</t>
  </si>
  <si>
    <t>5 White Chuchu Jelly
3 Cool Safflina</t>
  </si>
  <si>
    <t>5 Ice Keese Wing
3 Ice-Breath Lizalfos Tail
5 Chillshroom</t>
  </si>
  <si>
    <t>5 Ice-Breath Lizalfos Horn
10 Ice-Breath Lizalfos Tail
5 Sapphire</t>
  </si>
  <si>
    <t>1 Electric Lizalfos Horn
3 Yellow Chuchu Jelly</t>
  </si>
  <si>
    <t>8 Yellow Chuchu Jelly
5 Voltfruit</t>
  </si>
  <si>
    <t>5 Zapshroom
5 Electric Lizalfos Tail
8 Electric Safflina</t>
  </si>
  <si>
    <t>5 Electric Lizalfos Horn
5 Topaz
8 Electric Lizalfos Tail</t>
  </si>
  <si>
    <t>3 Blue Nightshade</t>
  </si>
  <si>
    <t>5 Blue Nightshade
5 Sunset Firefly</t>
  </si>
  <si>
    <t>8 Silent Shroom
5 Sneaky River Snail
5 Sticky Frog</t>
  </si>
  <si>
    <t>10 Stealthfin Trout
5 Silent Princess
10 Sundelion</t>
  </si>
  <si>
    <t>3 Keese Wing
3 Rushroom</t>
  </si>
  <si>
    <t>5 Electric Keese Wing
5 Hightail Lizard</t>
  </si>
  <si>
    <t>8 Ice Keese Wing
10 Hot-Footed Frog</t>
  </si>
  <si>
    <t>10 Fire Keese Wing
20 Swift Violet</t>
  </si>
  <si>
    <t>3 Mighty Thistle</t>
  </si>
  <si>
    <t>2 Lynel Saber Horn
2 Lynel Mace Horn
5 Razorshroom</t>
  </si>
  <si>
    <t>3 Blue-Maned Lynel Saber Horn
3 Blue-Maned Lynel Mace Horn
3 Razorclaw Crab</t>
  </si>
  <si>
    <t>3 White-Maned Lynel Saber Horn
3 White-Maned Lynel Mace Horn
3 Bladed Rhino Beetle</t>
  </si>
  <si>
    <t>10 Luminous Stone
1 Bokoblin Guts</t>
  </si>
  <si>
    <t>15 Luminous Stone
2 Moblin Guts</t>
  </si>
  <si>
    <t>20 Luminous Stone
3 Horriblin Guts
10 Gibdo Bone</t>
  </si>
  <si>
    <t>30 Luminous Stone
3 Lynel Guts
3 Molduga Jaw</t>
  </si>
  <si>
    <t>3 Boss Bokoblin Horn
3 Bokoblin Guts</t>
  </si>
  <si>
    <t>3 Blue Boss Bokoblin Horn
3 Boss Bokoblin Guts</t>
  </si>
  <si>
    <t>3 Black Boss Bokoblin Horn
3 Hinox Guts</t>
  </si>
  <si>
    <t>3 Silver Boss Bokoblin Horn
3 Molduga Guts
3 Gleeok Guts</t>
  </si>
  <si>
    <t>3 Sticky Lizard</t>
  </si>
  <si>
    <t>5 Horriblin Horn
5 Sticky Lizard</t>
  </si>
  <si>
    <t>5 Blue Horriblin Horn
5 Sticky Frog</t>
  </si>
  <si>
    <t>5 Black Horriblin Horn
10 Horriblin Guts
10 Opal</t>
  </si>
  <si>
    <t>3 Keese Wing</t>
  </si>
  <si>
    <t>6 Aerocuda Eyeball
5 Keese Wing</t>
  </si>
  <si>
    <t>6 Aerocuda Wing
8 Aerocuda Eyeball</t>
  </si>
  <si>
    <t>12 Gleeok Wing
10 Aerocuda Wing
8 Gibdo Wing</t>
  </si>
  <si>
    <t>3 Deep Firefly</t>
  </si>
  <si>
    <t>3 Frox Fang
5 Dark Clump</t>
  </si>
  <si>
    <t>3 Obsidian Frox Fang
20 Zonaite
3 Frox Fingernail</t>
  </si>
  <si>
    <t>5 Blue-White Frox Fang
10 Large Zonaite
3 Frox Guts</t>
  </si>
  <si>
    <t>10 Brightbloom Seed</t>
  </si>
  <si>
    <t>20 Brightbloom Seed
5 Brightcap</t>
  </si>
  <si>
    <t>15 Giant Brightbloom Seed
5 Glowing Cave Fish
10 Deep Firefly</t>
  </si>
  <si>
    <t>20 Giant Brightbloom Seed
3 Diamond
10 Large Zonaite</t>
  </si>
  <si>
    <t>3 Fire Fruit</t>
  </si>
  <si>
    <t>5 Fire-Breath Lizalfos Horn
5 Summerwing Butterfly</t>
  </si>
  <si>
    <t>5 Fire Like Stone
5 Warm Darner
5 Large Zonai Charge</t>
  </si>
  <si>
    <t>5 Gleeok Flame Horn
10 Sizzlefin Trout
10 Large Zonai Charge</t>
  </si>
  <si>
    <t xml:space="preserve">5 Fire Like Stone
5 Warm Darner
5 Large Zonai Charge
</t>
  </si>
  <si>
    <t>3 Shock Fruit</t>
  </si>
  <si>
    <t>5 Electric Lizalfos Horn
3 Thunderwing Butterfly</t>
  </si>
  <si>
    <t>5 Shock Like Stone
5 Electric Darner
3 Large Zonai Charge</t>
  </si>
  <si>
    <t>5 Gleeok Thunder Horn
10 Voltfin Trout
5 Large Zonai Charge</t>
  </si>
  <si>
    <t>3 Ice Fruit</t>
  </si>
  <si>
    <t>5 Ice-Breath Lizalfos Horn
5 Winterwing Butterfly</t>
  </si>
  <si>
    <t>5 Ice Like Stone
5 Cold Darner
5 Large Zonai Charge</t>
  </si>
  <si>
    <t>5 Gleeok Frost Horn
10 Chillfin Trout
10 Large Zonai Charge</t>
  </si>
  <si>
    <t>2 Octorok Eyeball</t>
  </si>
  <si>
    <t>3 Fire-Breath Lizalfos Tail
3 Puffshroom</t>
  </si>
  <si>
    <t>5 Ice-Breath Lizalfos Tail
5 Keese Eyeball</t>
  </si>
  <si>
    <t>5 Electric Lizalfos Tail
3 Black Hinox Horn
10 Mighty Bananas</t>
  </si>
  <si>
    <t>1 Ruby
5 Zonaite</t>
  </si>
  <si>
    <t>4 Ruby
10 Zonaite</t>
  </si>
  <si>
    <t>6 Ruby
5 Large Zonaite
5 Dazzlefruit</t>
  </si>
  <si>
    <t>10 Ruby
10 Large Zonaite
10 Dazzlefruit</t>
  </si>
  <si>
    <t>1 Sapphire
5 Zonaite</t>
  </si>
  <si>
    <t>4 Sapphire
10 Zonaite</t>
  </si>
  <si>
    <t>6 Sapphire
5 Large Zonaite
5 Dazzlefruit</t>
  </si>
  <si>
    <t>10 Sapphire
10 Large Zonaite
10 Dazzlefruit</t>
  </si>
  <si>
    <t>1 Topaz
5 Zonaite</t>
  </si>
  <si>
    <t>4 Topaz
10 Zonaite</t>
  </si>
  <si>
    <t>6 Topaz
5 Large Zonaite
5 Dazzlefruit</t>
  </si>
  <si>
    <t>10 Topaz
10 Large Zonaite
10 Dazzlefruit</t>
  </si>
  <si>
    <t>5 Opal
5 Zonaite</t>
  </si>
  <si>
    <t>10 Opal
10 Zonaite</t>
  </si>
  <si>
    <t>15 Opal
5 Large Zonaite
5 Dazzlefruit</t>
  </si>
  <si>
    <t>25 Opal
10 Large Zonaite
10 Dazzlefruit</t>
  </si>
  <si>
    <t>5 Soldier Construct Horn</t>
  </si>
  <si>
    <t>5 Soldier Construct II Horn
5 Captain Construct I Horn
5 Zonaite</t>
  </si>
  <si>
    <t>5 Soldier Construct III Horn
5 Captain Construct II Horn
5 Large Zonaite</t>
  </si>
  <si>
    <t>5 Soldier Construct IV Horn
5 Captain Construct III Horn
10 Large Zonaite</t>
  </si>
  <si>
    <t>10 Amber
5 Flint</t>
  </si>
  <si>
    <t>20 Amber
10 Flint</t>
  </si>
  <si>
    <t>35 Amber
15 Flint</t>
  </si>
  <si>
    <t>60 Amber
25 Flint</t>
  </si>
  <si>
    <t>2 Diamond
3 Flint</t>
  </si>
  <si>
    <t>3 Diamond
5 Flint</t>
  </si>
  <si>
    <t>5 Diamond
1 Star Fragment</t>
  </si>
  <si>
    <t>8 Diamond
2 Star Fragment</t>
  </si>
  <si>
    <t>2 Ruby
3 Flint</t>
  </si>
  <si>
    <t>4 Ruby
5 Flint</t>
  </si>
  <si>
    <t>6 Ruby
1 Star Fragment</t>
  </si>
  <si>
    <t>10 Ruby
2 Star Fragment</t>
  </si>
  <si>
    <t>2 Sapphire
3 Flint</t>
  </si>
  <si>
    <t>4 Sapphire
5 Flint</t>
  </si>
  <si>
    <t>6 Sapphire
1 Star Fragment</t>
  </si>
  <si>
    <t>10 Sapphire
2 Star Fragment</t>
  </si>
  <si>
    <t>2 Topaz
3 Flint</t>
  </si>
  <si>
    <t>4 Topaz
5 Flint</t>
  </si>
  <si>
    <t>6 Topaz
1 Star Fragment</t>
  </si>
  <si>
    <t>10 Topaz
2 Star Fragment</t>
  </si>
  <si>
    <t>6 Opal
5 Flint</t>
  </si>
  <si>
    <t>12 Opal
10 Flint</t>
  </si>
  <si>
    <t>18 Opal
15 Flint</t>
  </si>
  <si>
    <t>30 Opal
25 Flint</t>
  </si>
  <si>
    <t>3 Hightail Lizard</t>
  </si>
  <si>
    <t>20 Gibdo Bone
5 Swift Carrot</t>
  </si>
  <si>
    <t>5 Gibdo Guts
10 Rushroom
5 Molduga Fin</t>
  </si>
  <si>
    <t>5 Molduga Guts
10 Swift Violet
5 Hearty Lizard</t>
  </si>
  <si>
    <t>5 Octorok Tentacle
5 Swift Carrot</t>
  </si>
  <si>
    <t>5 Octo Balloon
20 Rushroom</t>
  </si>
  <si>
    <t>2 Naydra's Scale
20 Swift Violet</t>
  </si>
  <si>
    <t>3 Silent Princess
1 Light Dragon's Scale</t>
  </si>
  <si>
    <t>3 Silent Princess
1 Light Dragon's Talon
2 Farosh's Horn</t>
  </si>
  <si>
    <t>5 Silent Princess
1 Shard of Light Dragon's Fang
2 Naydra's Horn</t>
  </si>
  <si>
    <t>10 Silent Princess
1 Light Dragon's Horn
2 Dinraal's Horn</t>
  </si>
  <si>
    <t>3 Silent Princess
2 Light Dragon's Scale</t>
  </si>
  <si>
    <t>3 Silent Princess
2 Light Dragon's Talon
10 Sundelion</t>
  </si>
  <si>
    <t>5 Silent Princess
2 Shard of Light Dragon's Fang
15 Sundelion</t>
  </si>
  <si>
    <t>10 Silent Princess
2 Light Dragon's Horn
20 Sundelion</t>
  </si>
  <si>
    <t>1 Silent Princess
1 Star Fragment</t>
  </si>
  <si>
    <t>2 Silent Princess
2 Star Fragment</t>
  </si>
  <si>
    <t>4 Silent Princess
3 Star Fragment</t>
  </si>
  <si>
    <t>8 Silent Princess
4 Star Fragment</t>
  </si>
  <si>
    <t>5 Hinox Toenail
1 Dinraal's Scale</t>
  </si>
  <si>
    <t>5 Hinox Tooth
1 Dinraal's Claw</t>
  </si>
  <si>
    <t>2 Hinox Guts
1 Shard of Dinraal's Fang</t>
  </si>
  <si>
    <t>2 Lynel Guts
1 Dinraal's Horn</t>
  </si>
  <si>
    <t>5 Hinox Toenail
1 Naydra's Scale</t>
  </si>
  <si>
    <t>5 Hinox Tooth
1 Naydra's Claw</t>
  </si>
  <si>
    <t>2 Hinox Guts
1 Shard of Naydra's Fang</t>
  </si>
  <si>
    <t>2 Lynel Guts
1 Naydra's Horn</t>
  </si>
  <si>
    <t>5 Hinox Toenail
1 Farosh's Scale</t>
  </si>
  <si>
    <t>5 Hinox Tooth
1 Farosh's Claw</t>
  </si>
  <si>
    <t>2 Hinox Guts
1 Shard of Farosh's Fang</t>
  </si>
  <si>
    <t>2 Lynel Guts
1 Farosh's Horn</t>
  </si>
  <si>
    <t>10 Luminous Stone
1 Star Fragment</t>
  </si>
  <si>
    <t>15 Luminous Stone
1 Star Fragment</t>
  </si>
  <si>
    <t>20 Luminous Stone
1 Star Fragment</t>
  </si>
  <si>
    <t>30 Luminous Stone
1 Star Fragment</t>
  </si>
  <si>
    <t>10 Acorn
2 Farosh's Scale</t>
  </si>
  <si>
    <t>5 Courser Bee Honey
2 Farosh's Claw</t>
  </si>
  <si>
    <t>3 Energetic Rhino Beetle
2 Shard of Farosh's Fang
5 Shard of Farosh's Spike</t>
  </si>
  <si>
    <t>3 Star Fragment
2 Farosh's Horn
10 Shard of Farosh's Spike</t>
  </si>
  <si>
    <t>10 Acorn
2 Naydra's Scale</t>
  </si>
  <si>
    <t>5 Courser Bee Honey
2 Naydra's Claw</t>
  </si>
  <si>
    <t>3 Energetic Rhino Beetle
2 Shard of Naydra's Fang
5 Shard of Naydra's Spike</t>
  </si>
  <si>
    <t>3 Star Fragment
2 Naydra's Horn
10 Shard of Naydra's Spike</t>
  </si>
  <si>
    <t>10 Acorn
2 Dinraal's Scale</t>
  </si>
  <si>
    <t>5 Courser Bee Honey
2 Dinraal's Claw</t>
  </si>
  <si>
    <t>3 Energetic Rhino Beetle
2 Shard of Dinraal's Fang
5 Shard of Dinraal's Spike</t>
  </si>
  <si>
    <t>3 Star Fragment
2 Dinraal's Horn
10 Shard of Dinraal's Spike</t>
  </si>
  <si>
    <t>1 Ruby
1 Star Fragment</t>
  </si>
  <si>
    <t>4 Ruby
1 Star Fragment</t>
  </si>
  <si>
    <t>10 Ruby
1 Star Fragment</t>
  </si>
  <si>
    <t>10 Amber
1 Star Fragment</t>
  </si>
  <si>
    <t>20 Amber
1 Star Fragment</t>
  </si>
  <si>
    <t>30 Amber
1 Star Fragment</t>
  </si>
  <si>
    <t>40 Amber
1 Star Fragment</t>
  </si>
  <si>
    <t>5 Opal
1 Star Fragment</t>
  </si>
  <si>
    <t>10 Opal
1 Star Fragment</t>
  </si>
  <si>
    <t>15 Opal
1 Star Fragment</t>
  </si>
  <si>
    <t>25 Opal
1 Star Fragment</t>
  </si>
  <si>
    <t>1 Topaz
1 Star Fragment</t>
  </si>
  <si>
    <t>4 Topaz
1 Star Fragment</t>
  </si>
  <si>
    <t>10 Topaz
1 Star Fragment</t>
  </si>
  <si>
    <t>1 Sapphire
1 Star Fragment</t>
  </si>
  <si>
    <t>4 Sapphire
1 Star Fragment</t>
  </si>
  <si>
    <t>10 Sapphire
1 Star Fragment</t>
  </si>
  <si>
    <t>9 Silver Bokoblin Horn
9 Hinox Guts
15 Zonaite
30 Rupee</t>
  </si>
  <si>
    <t>9 Silver Moblin Horn
9 Frox Guts
10 Large Zonaite
150 Rupee</t>
  </si>
  <si>
    <t>9 Silver Lizalfos Horn
9 Molduga Guts
15 Large Zonaite
600 Rupee</t>
  </si>
  <si>
    <t>9 Silver Lynel Saber Horn
9 Silver Lynel Mace Horn
9 Gleeok Guts
1500 Rupee</t>
  </si>
</sst>
</file>

<file path=xl/styles.xml><?xml version="1.0" encoding="utf-8"?>
<styleSheet xmlns="http://schemas.openxmlformats.org/spreadsheetml/2006/main" xmlns:x14ac="http://schemas.microsoft.com/office/spreadsheetml/2009/9/ac" xmlns:mc="http://schemas.openxmlformats.org/markup-compatibility/2006">
  <numFmts count="1">
    <numFmt numFmtId="164" formatCode="00.00"/>
  </numFmts>
  <fonts count="19">
    <font>
      <sz val="10.0"/>
      <color rgb="FF000000"/>
      <name val="Arial"/>
      <scheme val="minor"/>
    </font>
    <font>
      <b/>
      <sz val="12.0"/>
      <color theme="1"/>
      <name val="Helvetica Neue"/>
    </font>
    <font>
      <sz val="12.0"/>
      <color theme="1"/>
      <name val="Helvetica Neue"/>
    </font>
    <font>
      <b/>
      <sz val="15.0"/>
      <color rgb="FF000000"/>
      <name val="&quot;docs-Helvetica Neue&quot;"/>
    </font>
    <font>
      <i/>
      <sz val="10.0"/>
      <color theme="1"/>
      <name val="Helvetica Neue"/>
    </font>
    <font>
      <b/>
      <sz val="16.0"/>
      <color theme="1"/>
      <name val="Helvetica Neue"/>
    </font>
    <font>
      <b/>
      <sz val="14.0"/>
      <color theme="1"/>
      <name val="Helvetica Neue"/>
    </font>
    <font>
      <sz val="12.0"/>
      <color rgb="FF1F1F1F"/>
      <name val="Helvetica Neue"/>
    </font>
    <font>
      <b/>
      <sz val="8.0"/>
      <color theme="1"/>
      <name val="Helvetica Neue"/>
    </font>
    <font>
      <sz val="8.0"/>
      <color theme="1"/>
      <name val="Helvetica Neue"/>
    </font>
    <font>
      <u/>
      <sz val="8.0"/>
      <color rgb="FF0000FF"/>
      <name val="Helvetica Neue"/>
    </font>
    <font>
      <sz val="10.0"/>
      <color theme="1"/>
      <name val="Helvetica Neue"/>
    </font>
    <font>
      <i/>
      <sz val="8.0"/>
      <color theme="1"/>
      <name val="Helvetica Neue"/>
    </font>
    <font>
      <b/>
      <i/>
      <sz val="8.0"/>
      <color theme="1"/>
      <name val="Helvetica Neue"/>
    </font>
    <font>
      <b/>
      <color theme="1"/>
      <name val="Helvetica Neue"/>
    </font>
    <font>
      <color theme="1"/>
      <name val="Helvetica Neue"/>
    </font>
    <font>
      <i/>
      <sz val="8.0"/>
      <color rgb="FF1F1F1F"/>
      <name val="Helvetica Neue"/>
    </font>
    <font>
      <color theme="1"/>
      <name val="Arial"/>
      <scheme val="minor"/>
    </font>
    <font>
      <color theme="1"/>
      <name val="Arial"/>
    </font>
  </fonts>
  <fills count="8">
    <fill>
      <patternFill patternType="none"/>
    </fill>
    <fill>
      <patternFill patternType="lightGray"/>
    </fill>
    <fill>
      <patternFill patternType="solid">
        <fgColor theme="8"/>
        <bgColor theme="8"/>
      </patternFill>
    </fill>
    <fill>
      <patternFill patternType="solid">
        <fgColor rgb="FFFFFFFF"/>
        <bgColor rgb="FFFFFFFF"/>
      </patternFill>
    </fill>
    <fill>
      <patternFill patternType="solid">
        <fgColor rgb="FFF46524"/>
        <bgColor rgb="FFF46524"/>
      </patternFill>
    </fill>
    <fill>
      <patternFill patternType="solid">
        <fgColor rgb="FFFFE6DD"/>
        <bgColor rgb="FFFFE6DD"/>
      </patternFill>
    </fill>
    <fill>
      <patternFill patternType="solid">
        <fgColor rgb="FFF4CCCC"/>
        <bgColor rgb="FFF4CCCC"/>
      </patternFill>
    </fill>
    <fill>
      <patternFill patternType="solid">
        <fgColor rgb="FFD9D9D9"/>
        <bgColor rgb="FFD9D9D9"/>
      </patternFill>
    </fill>
  </fills>
  <borders count="3">
    <border/>
    <border>
      <left style="thin">
        <color rgb="FF000000"/>
      </left>
      <right style="thin">
        <color rgb="FF000000"/>
      </right>
    </border>
    <border>
      <right style="thin">
        <color rgb="FF000000"/>
      </right>
    </border>
  </borders>
  <cellStyleXfs count="1">
    <xf borderId="0" fillId="0" fontId="0" numFmtId="0" applyAlignment="1" applyFont="1"/>
  </cellStyleXfs>
  <cellXfs count="64">
    <xf borderId="0" fillId="0" fontId="0" numFmtId="0" xfId="0" applyAlignment="1" applyFont="1">
      <alignment readingOrder="0" shrinkToFit="0" vertical="bottom" wrapText="0"/>
    </xf>
    <xf borderId="0" fillId="2" fontId="1" numFmtId="0" xfId="0" applyAlignment="1" applyFill="1" applyFont="1">
      <alignment horizontal="right" shrinkToFit="0" vertical="center" wrapText="1"/>
    </xf>
    <xf borderId="0" fillId="2" fontId="2" numFmtId="0" xfId="0" applyAlignment="1" applyFont="1">
      <alignment horizontal="center" readingOrder="0" shrinkToFit="0" vertical="center" wrapText="1"/>
    </xf>
    <xf borderId="0" fillId="2" fontId="2" numFmtId="0" xfId="0" applyAlignment="1" applyFont="1">
      <alignment horizontal="center" shrinkToFit="0" vertical="center" wrapText="1"/>
    </xf>
    <xf borderId="0" fillId="0" fontId="3" numFmtId="0" xfId="0" applyAlignment="1" applyFont="1">
      <alignment horizontal="center" readingOrder="0"/>
    </xf>
    <xf borderId="0" fillId="0" fontId="4" numFmtId="0" xfId="0" applyAlignment="1" applyFont="1">
      <alignment horizontal="center" readingOrder="0" shrinkToFit="0" vertical="center" wrapText="1"/>
    </xf>
    <xf borderId="0" fillId="2" fontId="5" numFmtId="0" xfId="0" applyAlignment="1" applyFont="1">
      <alignment horizontal="center" readingOrder="0" shrinkToFit="0" vertical="center" wrapText="1"/>
    </xf>
    <xf borderId="0" fillId="2" fontId="6" numFmtId="0" xfId="0" applyAlignment="1" applyFont="1">
      <alignment horizontal="center" readingOrder="0" shrinkToFit="0" vertical="center" wrapText="1"/>
    </xf>
    <xf borderId="0" fillId="2" fontId="1" numFmtId="0" xfId="0" applyAlignment="1" applyFont="1">
      <alignment horizontal="right" readingOrder="0" shrinkToFit="0" vertical="center" wrapText="1"/>
    </xf>
    <xf borderId="0" fillId="0" fontId="2" numFmtId="0" xfId="0" applyAlignment="1" applyFont="1">
      <alignment horizontal="center" readingOrder="0" shrinkToFit="0" vertical="center" wrapText="1"/>
    </xf>
    <xf borderId="0" fillId="3" fontId="7" numFmtId="0" xfId="0" applyAlignment="1" applyFill="1" applyFont="1">
      <alignment horizontal="center" readingOrder="0" shrinkToFit="0" vertical="center" wrapText="1"/>
    </xf>
    <xf borderId="0" fillId="0" fontId="8" numFmtId="0" xfId="0" applyAlignment="1" applyFont="1">
      <alignment horizontal="center" readingOrder="0" shrinkToFit="0" vertical="center" wrapText="1"/>
    </xf>
    <xf borderId="0" fillId="0" fontId="9" numFmtId="0" xfId="0" applyAlignment="1" applyFont="1">
      <alignment horizontal="center" readingOrder="0" shrinkToFit="0" vertical="center" wrapText="1"/>
    </xf>
    <xf borderId="0" fillId="0" fontId="10" numFmtId="0" xfId="0" applyAlignment="1" applyFont="1">
      <alignment horizontal="center" readingOrder="0" shrinkToFit="0" vertical="center" wrapText="1"/>
    </xf>
    <xf borderId="0" fillId="0" fontId="11" numFmtId="0" xfId="0" applyAlignment="1" applyFont="1">
      <alignment horizontal="center" readingOrder="0" shrinkToFit="0" vertical="center" wrapText="1"/>
    </xf>
    <xf borderId="0" fillId="4" fontId="12" numFmtId="0" xfId="0" applyAlignment="1" applyFill="1" applyFont="1">
      <alignment horizontal="center" readingOrder="0" shrinkToFit="0" vertical="center" wrapText="1"/>
    </xf>
    <xf borderId="0" fillId="4" fontId="13" numFmtId="0" xfId="0" applyAlignment="1" applyFont="1">
      <alignment horizontal="center" shrinkToFit="0" textRotation="0" vertical="center" wrapText="1"/>
    </xf>
    <xf borderId="0" fillId="4" fontId="13" numFmtId="0" xfId="0" applyAlignment="1" applyFont="1">
      <alignment horizontal="center" readingOrder="0" shrinkToFit="0" textRotation="0" vertical="center" wrapText="1"/>
    </xf>
    <xf borderId="0" fillId="4" fontId="1" numFmtId="0" xfId="0" applyAlignment="1" applyFont="1">
      <alignment horizontal="center" shrinkToFit="0" textRotation="0" vertical="center" wrapText="1"/>
    </xf>
    <xf borderId="0" fillId="4" fontId="14" numFmtId="0" xfId="0" applyAlignment="1" applyFont="1">
      <alignment horizontal="center" readingOrder="0" shrinkToFit="0" textRotation="0" vertical="center" wrapText="1"/>
    </xf>
    <xf borderId="0" fillId="4" fontId="15" numFmtId="0" xfId="0" applyAlignment="1" applyFont="1">
      <alignment horizontal="center" readingOrder="0" shrinkToFit="0" textRotation="90" vertical="center" wrapText="1"/>
    </xf>
    <xf borderId="1" fillId="4" fontId="1" numFmtId="0" xfId="0" applyAlignment="1" applyBorder="1" applyFont="1">
      <alignment horizontal="center" readingOrder="0" shrinkToFit="0" textRotation="90" vertical="center" wrapText="1"/>
    </xf>
    <xf borderId="0" fillId="4" fontId="15" numFmtId="0" xfId="0" applyAlignment="1" applyFont="1">
      <alignment horizontal="center" readingOrder="0" shrinkToFit="0" vertical="center" wrapText="1"/>
    </xf>
    <xf borderId="2" fillId="4" fontId="1" numFmtId="0" xfId="0" applyAlignment="1" applyBorder="1" applyFont="1">
      <alignment horizontal="center" readingOrder="0" shrinkToFit="0" textRotation="90" vertical="center" wrapText="1"/>
    </xf>
    <xf borderId="0" fillId="4" fontId="1" numFmtId="0" xfId="0" applyAlignment="1" applyFont="1">
      <alignment horizontal="center" readingOrder="0" shrinkToFit="0" textRotation="90" vertical="center" wrapText="1"/>
    </xf>
    <xf borderId="0" fillId="3" fontId="12" numFmtId="0" xfId="0" applyAlignment="1" applyFont="1">
      <alignment horizontal="center" shrinkToFit="0" vertical="center" wrapText="1"/>
    </xf>
    <xf borderId="0" fillId="3" fontId="14" numFmtId="0" xfId="0" applyAlignment="1" applyFont="1">
      <alignment horizontal="center" shrinkToFit="0" vertical="center" wrapText="1"/>
    </xf>
    <xf borderId="0" fillId="3" fontId="15" numFmtId="0" xfId="0" applyAlignment="1" applyFont="1">
      <alignment horizontal="center" shrinkToFit="0" vertical="center" wrapText="1"/>
    </xf>
    <xf borderId="0" fillId="3" fontId="15" numFmtId="0" xfId="0" applyAlignment="1" applyFont="1">
      <alignment horizontal="center" readingOrder="0" shrinkToFit="0" vertical="center" wrapText="1"/>
    </xf>
    <xf borderId="1" fillId="3" fontId="14" numFmtId="0" xfId="0" applyAlignment="1" applyBorder="1" applyFont="1">
      <alignment horizontal="center" shrinkToFit="0" vertical="center" wrapText="1"/>
    </xf>
    <xf borderId="2" fillId="3" fontId="14" numFmtId="0" xfId="0" applyAlignment="1" applyBorder="1" applyFont="1">
      <alignment horizontal="center" shrinkToFit="0" vertical="center" wrapText="1"/>
    </xf>
    <xf borderId="0" fillId="5" fontId="12" numFmtId="0" xfId="0" applyAlignment="1" applyFill="1" applyFont="1">
      <alignment horizontal="center" shrinkToFit="0" vertical="center" wrapText="1"/>
    </xf>
    <xf borderId="0" fillId="5" fontId="14" numFmtId="0" xfId="0" applyAlignment="1" applyFont="1">
      <alignment horizontal="center" shrinkToFit="0" vertical="center" wrapText="1"/>
    </xf>
    <xf borderId="0" fillId="5" fontId="15" numFmtId="0" xfId="0" applyAlignment="1" applyFont="1">
      <alignment horizontal="center" shrinkToFit="0" vertical="center" wrapText="1"/>
    </xf>
    <xf borderId="0" fillId="5" fontId="15" numFmtId="0" xfId="0" applyAlignment="1" applyFont="1">
      <alignment horizontal="center" readingOrder="0" shrinkToFit="0" vertical="center" wrapText="1"/>
    </xf>
    <xf borderId="1" fillId="5" fontId="14" numFmtId="0" xfId="0" applyAlignment="1" applyBorder="1" applyFont="1">
      <alignment horizontal="center" shrinkToFit="0" vertical="center" wrapText="1"/>
    </xf>
    <xf borderId="2" fillId="5" fontId="14" numFmtId="0" xfId="0" applyAlignment="1" applyBorder="1" applyFont="1">
      <alignment horizontal="center" shrinkToFit="0" vertical="center" wrapText="1"/>
    </xf>
    <xf borderId="0" fillId="3" fontId="12" numFmtId="0" xfId="0" applyAlignment="1" applyFont="1">
      <alignment horizontal="center" readingOrder="0" shrinkToFit="0" vertical="center" wrapText="1"/>
    </xf>
    <xf borderId="0" fillId="3" fontId="14" numFmtId="0" xfId="0" applyAlignment="1" applyFont="1">
      <alignment horizontal="center" readingOrder="0" shrinkToFit="0" vertical="center" wrapText="1"/>
    </xf>
    <xf borderId="0" fillId="5" fontId="14" numFmtId="0" xfId="0" applyAlignment="1" applyFont="1">
      <alignment horizontal="center" readingOrder="0" shrinkToFit="0" vertical="center" wrapText="1"/>
    </xf>
    <xf borderId="0" fillId="3" fontId="16" numFmtId="0" xfId="0" applyAlignment="1" applyFont="1">
      <alignment horizontal="center" readingOrder="0" shrinkToFit="0" vertical="center" wrapText="1"/>
    </xf>
    <xf borderId="0" fillId="4" fontId="9" numFmtId="164" xfId="0" applyAlignment="1" applyFont="1" applyNumberFormat="1">
      <alignment horizontal="center" readingOrder="0" shrinkToFit="0" vertical="center" wrapText="1"/>
    </xf>
    <xf borderId="0" fillId="4" fontId="9" numFmtId="0" xfId="0" applyAlignment="1" applyFont="1">
      <alignment horizontal="center" shrinkToFit="0" vertical="center" wrapText="1"/>
    </xf>
    <xf borderId="0" fillId="4" fontId="15" numFmtId="0" xfId="0" applyAlignment="1" applyFont="1">
      <alignment horizontal="center" shrinkToFit="0" vertical="center" wrapText="1"/>
    </xf>
    <xf borderId="0" fillId="4" fontId="15" numFmtId="0" xfId="0" applyAlignment="1" applyFont="1">
      <alignment horizontal="left" readingOrder="0" shrinkToFit="0" vertical="center" wrapText="1"/>
    </xf>
    <xf borderId="0" fillId="3" fontId="9" numFmtId="164" xfId="0" applyAlignment="1" applyFont="1" applyNumberFormat="1">
      <alignment horizontal="center" shrinkToFit="0" vertical="center" wrapText="1"/>
    </xf>
    <xf borderId="0" fillId="3" fontId="9" numFmtId="0" xfId="0" applyAlignment="1" applyFont="1">
      <alignment horizontal="center" shrinkToFit="0" vertical="center" wrapText="1"/>
    </xf>
    <xf borderId="0" fillId="3" fontId="14" numFmtId="0" xfId="0" applyAlignment="1" applyFont="1">
      <alignment horizontal="left" readingOrder="0" shrinkToFit="0" vertical="center" wrapText="1"/>
    </xf>
    <xf borderId="0" fillId="5" fontId="9" numFmtId="164" xfId="0" applyAlignment="1" applyFont="1" applyNumberFormat="1">
      <alignment horizontal="center" shrinkToFit="0" vertical="center" wrapText="1"/>
    </xf>
    <xf borderId="0" fillId="5" fontId="9" numFmtId="0" xfId="0" applyAlignment="1" applyFont="1">
      <alignment horizontal="center" shrinkToFit="0" vertical="center" wrapText="1"/>
    </xf>
    <xf borderId="0" fillId="5" fontId="14" numFmtId="0" xfId="0" applyAlignment="1" applyFont="1">
      <alignment horizontal="left" readingOrder="0" shrinkToFit="0" vertical="center" wrapText="1"/>
    </xf>
    <xf borderId="0" fillId="0" fontId="17" numFmtId="0" xfId="0" applyFont="1"/>
    <xf borderId="0" fillId="0" fontId="17" numFmtId="0" xfId="0" applyAlignment="1" applyFont="1">
      <alignment readingOrder="0"/>
    </xf>
    <xf borderId="0" fillId="0" fontId="17" numFmtId="0" xfId="0" applyFont="1"/>
    <xf borderId="0" fillId="0" fontId="17" numFmtId="2" xfId="0" applyFont="1" applyNumberFormat="1"/>
    <xf borderId="0" fillId="0" fontId="17" numFmtId="0" xfId="0" applyFont="1"/>
    <xf borderId="0" fillId="0" fontId="18" numFmtId="2" xfId="0" applyAlignment="1" applyFont="1" applyNumberFormat="1">
      <alignment horizontal="right" readingOrder="0" vertical="bottom"/>
    </xf>
    <xf borderId="0" fillId="0" fontId="18" numFmtId="0" xfId="0" applyAlignment="1" applyFont="1">
      <alignment readingOrder="0"/>
    </xf>
    <xf borderId="0" fillId="0" fontId="18" numFmtId="0" xfId="0" applyAlignment="1" applyFont="1">
      <alignment readingOrder="0" vertical="bottom"/>
    </xf>
    <xf borderId="0" fillId="0" fontId="18" numFmtId="0" xfId="0" applyAlignment="1" applyFont="1">
      <alignment readingOrder="0" shrinkToFit="0" wrapText="1"/>
    </xf>
    <xf borderId="0" fillId="3" fontId="18" numFmtId="0" xfId="0" applyAlignment="1" applyFont="1">
      <alignment readingOrder="0"/>
    </xf>
    <xf borderId="0" fillId="3" fontId="18" numFmtId="0" xfId="0" applyAlignment="1" applyFont="1">
      <alignment readingOrder="0" vertical="bottom"/>
    </xf>
    <xf borderId="0" fillId="6" fontId="17" numFmtId="0" xfId="0" applyFill="1" applyFont="1"/>
    <xf borderId="0" fillId="7" fontId="17" numFmtId="0" xfId="0" applyFill="1" applyFont="1"/>
  </cellXfs>
  <cellStyles count="1">
    <cellStyle xfId="0" name="Normal" builtinId="0"/>
  </cellStyles>
  <dxfs count="9">
    <dxf>
      <font/>
      <fill>
        <patternFill patternType="none"/>
      </fill>
      <border/>
    </dxf>
    <dxf>
      <font/>
      <fill>
        <patternFill patternType="solid">
          <fgColor rgb="FFF46524"/>
          <bgColor rgb="FFF46524"/>
        </patternFill>
      </fill>
      <border/>
    </dxf>
    <dxf>
      <font/>
      <fill>
        <patternFill patternType="solid">
          <fgColor rgb="FFFFFFFF"/>
          <bgColor rgb="FFFFFFFF"/>
        </patternFill>
      </fill>
      <border/>
    </dxf>
    <dxf>
      <font/>
      <fill>
        <patternFill patternType="solid">
          <fgColor rgb="FFFFE6DD"/>
          <bgColor rgb="FFFFE6DD"/>
        </patternFill>
      </fill>
      <border/>
    </dxf>
    <dxf>
      <font>
        <i/>
      </font>
      <fill>
        <patternFill patternType="solid">
          <fgColor rgb="FFCCCCCC"/>
          <bgColor rgb="FFCCCCCC"/>
        </patternFill>
      </fill>
      <border/>
    </dxf>
    <dxf>
      <font>
        <color rgb="FFFF0000"/>
      </font>
      <fill>
        <patternFill patternType="none"/>
      </fill>
      <border/>
    </dxf>
    <dxf>
      <font>
        <color rgb="FF6AA84F"/>
      </font>
      <fill>
        <patternFill patternType="none"/>
      </fill>
      <border/>
    </dxf>
    <dxf>
      <font>
        <color rgb="FF0000FF"/>
      </font>
      <fill>
        <patternFill patternType="none"/>
      </fill>
      <border/>
    </dxf>
    <dxf>
      <font/>
      <fill>
        <patternFill patternType="solid">
          <fgColor rgb="FFB7E1CD"/>
          <bgColor rgb="FFB7E1CD"/>
        </patternFill>
      </fill>
      <border/>
    </dxf>
  </dxfs>
  <tableStyles count="1">
    <tableStyle count="3" pivot="0" name="TotK Armor Upgrade Sheet-style">
      <tableStyleElement dxfId="1" type="headerRow"/>
      <tableStyleElement dxfId="2" type="firstRowStripe"/>
      <tableStyleElement dxfId="3" type="secondRowStripe"/>
    </tableStyle>
  </tableStyles>
</styleSheet>
</file>

<file path=xl/_rels/workbook.xml.rels><?xml version="1.0" encoding="UTF-8" standalone="yes"?><Relationships xmlns="http://schemas.openxmlformats.org/package/2006/relationships"><Relationship Id="rId11" Type="http://schemas.openxmlformats.org/officeDocument/2006/relationships/worksheet" Target="worksheets/sheet8.xml"/><Relationship Id="rId10" Type="http://schemas.openxmlformats.org/officeDocument/2006/relationships/worksheet" Target="worksheets/sheet7.xml"/><Relationship Id="rId1" Type="http://schemas.openxmlformats.org/officeDocument/2006/relationships/theme" Target="theme/theme1.xml"/><Relationship Id="rId2" Type="http://schemas.openxmlformats.org/officeDocument/2006/relationships/styles" Target="styles.xml"/><Relationship Id="rId3" Type="http://schemas.openxmlformats.org/officeDocument/2006/relationships/sharedStrings" Target="sharedStrings.xml"/><Relationship Id="rId4" Type="http://schemas.openxmlformats.org/officeDocument/2006/relationships/worksheet" Target="worksheets/sheet1.xml"/><Relationship Id="rId9" Type="http://schemas.openxmlformats.org/officeDocument/2006/relationships/worksheet" Target="worksheets/sheet6.xml"/><Relationship Id="rId5" Type="http://schemas.openxmlformats.org/officeDocument/2006/relationships/worksheet" Target="worksheets/sheet2.xml"/><Relationship Id="rId6" Type="http://schemas.openxmlformats.org/officeDocument/2006/relationships/worksheet" Target="worksheets/sheet3.xml"/><Relationship Id="rId7" Type="http://schemas.openxmlformats.org/officeDocument/2006/relationships/worksheet" Target="worksheets/sheet4.xml"/><Relationship Id="rId8" Type="http://schemas.openxmlformats.org/officeDocument/2006/relationships/worksheet" Target="worksheets/sheet5.xml"/></Relationships>
</file>

<file path=xl/drawings/_rels/drawing4.xml.rels><?xml version="1.0" encoding="UTF-8" standalone="yes"?><Relationships xmlns="http://schemas.openxmlformats.org/package/2006/relationships"><Relationship Id="rId40" Type="http://schemas.openxmlformats.org/officeDocument/2006/relationships/image" Target="../media/image42.png"/><Relationship Id="rId42" Type="http://schemas.openxmlformats.org/officeDocument/2006/relationships/image" Target="../media/image50.png"/><Relationship Id="rId41" Type="http://schemas.openxmlformats.org/officeDocument/2006/relationships/image" Target="../media/image36.png"/><Relationship Id="rId44" Type="http://schemas.openxmlformats.org/officeDocument/2006/relationships/image" Target="../media/image29.png"/><Relationship Id="rId43" Type="http://schemas.openxmlformats.org/officeDocument/2006/relationships/image" Target="../media/image27.png"/><Relationship Id="rId46" Type="http://schemas.openxmlformats.org/officeDocument/2006/relationships/image" Target="../media/image51.png"/><Relationship Id="rId45" Type="http://schemas.openxmlformats.org/officeDocument/2006/relationships/image" Target="../media/image53.png"/><Relationship Id="rId107" Type="http://schemas.openxmlformats.org/officeDocument/2006/relationships/image" Target="../media/image99.png"/><Relationship Id="rId106" Type="http://schemas.openxmlformats.org/officeDocument/2006/relationships/image" Target="../media/image98.png"/><Relationship Id="rId105" Type="http://schemas.openxmlformats.org/officeDocument/2006/relationships/image" Target="../media/image115.png"/><Relationship Id="rId104" Type="http://schemas.openxmlformats.org/officeDocument/2006/relationships/image" Target="../media/image108.png"/><Relationship Id="rId109" Type="http://schemas.openxmlformats.org/officeDocument/2006/relationships/image" Target="../media/image104.png"/><Relationship Id="rId108" Type="http://schemas.openxmlformats.org/officeDocument/2006/relationships/image" Target="../media/image100.png"/><Relationship Id="rId48" Type="http://schemas.openxmlformats.org/officeDocument/2006/relationships/image" Target="../media/image33.png"/><Relationship Id="rId47" Type="http://schemas.openxmlformats.org/officeDocument/2006/relationships/image" Target="../media/image31.png"/><Relationship Id="rId49" Type="http://schemas.openxmlformats.org/officeDocument/2006/relationships/image" Target="../media/image44.png"/><Relationship Id="rId103" Type="http://schemas.openxmlformats.org/officeDocument/2006/relationships/image" Target="../media/image180.png"/><Relationship Id="rId102" Type="http://schemas.openxmlformats.org/officeDocument/2006/relationships/image" Target="../media/image96.png"/><Relationship Id="rId101" Type="http://schemas.openxmlformats.org/officeDocument/2006/relationships/image" Target="../media/image90.png"/><Relationship Id="rId100" Type="http://schemas.openxmlformats.org/officeDocument/2006/relationships/image" Target="../media/image125.png"/><Relationship Id="rId31" Type="http://schemas.openxmlformats.org/officeDocument/2006/relationships/image" Target="../media/image23.png"/><Relationship Id="rId30" Type="http://schemas.openxmlformats.org/officeDocument/2006/relationships/image" Target="../media/image26.png"/><Relationship Id="rId33" Type="http://schemas.openxmlformats.org/officeDocument/2006/relationships/image" Target="../media/image67.png"/><Relationship Id="rId32" Type="http://schemas.openxmlformats.org/officeDocument/2006/relationships/image" Target="../media/image24.png"/><Relationship Id="rId35" Type="http://schemas.openxmlformats.org/officeDocument/2006/relationships/image" Target="../media/image25.png"/><Relationship Id="rId34" Type="http://schemas.openxmlformats.org/officeDocument/2006/relationships/image" Target="../media/image38.png"/><Relationship Id="rId37" Type="http://schemas.openxmlformats.org/officeDocument/2006/relationships/image" Target="../media/image54.png"/><Relationship Id="rId36" Type="http://schemas.openxmlformats.org/officeDocument/2006/relationships/image" Target="../media/image45.png"/><Relationship Id="rId39" Type="http://schemas.openxmlformats.org/officeDocument/2006/relationships/image" Target="../media/image56.png"/><Relationship Id="rId38" Type="http://schemas.openxmlformats.org/officeDocument/2006/relationships/image" Target="../media/image28.png"/><Relationship Id="rId20" Type="http://schemas.openxmlformats.org/officeDocument/2006/relationships/image" Target="../media/image109.png"/><Relationship Id="rId22" Type="http://schemas.openxmlformats.org/officeDocument/2006/relationships/image" Target="../media/image1.png"/><Relationship Id="rId21" Type="http://schemas.openxmlformats.org/officeDocument/2006/relationships/image" Target="../media/image18.png"/><Relationship Id="rId24" Type="http://schemas.openxmlformats.org/officeDocument/2006/relationships/image" Target="../media/image6.png"/><Relationship Id="rId23" Type="http://schemas.openxmlformats.org/officeDocument/2006/relationships/image" Target="../media/image81.png"/><Relationship Id="rId129" Type="http://schemas.openxmlformats.org/officeDocument/2006/relationships/image" Target="../media/image116.png"/><Relationship Id="rId128" Type="http://schemas.openxmlformats.org/officeDocument/2006/relationships/image" Target="../media/image139.png"/><Relationship Id="rId127" Type="http://schemas.openxmlformats.org/officeDocument/2006/relationships/image" Target="../media/image162.png"/><Relationship Id="rId126" Type="http://schemas.openxmlformats.org/officeDocument/2006/relationships/image" Target="../media/image112.png"/><Relationship Id="rId26" Type="http://schemas.openxmlformats.org/officeDocument/2006/relationships/image" Target="../media/image20.png"/><Relationship Id="rId121" Type="http://schemas.openxmlformats.org/officeDocument/2006/relationships/image" Target="../media/image117.png"/><Relationship Id="rId25" Type="http://schemas.openxmlformats.org/officeDocument/2006/relationships/image" Target="../media/image7.png"/><Relationship Id="rId120" Type="http://schemas.openxmlformats.org/officeDocument/2006/relationships/image" Target="../media/image212.png"/><Relationship Id="rId28" Type="http://schemas.openxmlformats.org/officeDocument/2006/relationships/image" Target="../media/image41.png"/><Relationship Id="rId27" Type="http://schemas.openxmlformats.org/officeDocument/2006/relationships/image" Target="../media/image22.png"/><Relationship Id="rId125" Type="http://schemas.openxmlformats.org/officeDocument/2006/relationships/image" Target="../media/image111.png"/><Relationship Id="rId29" Type="http://schemas.openxmlformats.org/officeDocument/2006/relationships/image" Target="../media/image37.png"/><Relationship Id="rId124" Type="http://schemas.openxmlformats.org/officeDocument/2006/relationships/image" Target="../media/image120.png"/><Relationship Id="rId123" Type="http://schemas.openxmlformats.org/officeDocument/2006/relationships/image" Target="../media/image114.png"/><Relationship Id="rId122" Type="http://schemas.openxmlformats.org/officeDocument/2006/relationships/image" Target="../media/image124.png"/><Relationship Id="rId95" Type="http://schemas.openxmlformats.org/officeDocument/2006/relationships/image" Target="../media/image85.png"/><Relationship Id="rId94" Type="http://schemas.openxmlformats.org/officeDocument/2006/relationships/image" Target="../media/image97.png"/><Relationship Id="rId97" Type="http://schemas.openxmlformats.org/officeDocument/2006/relationships/image" Target="../media/image126.png"/><Relationship Id="rId96" Type="http://schemas.openxmlformats.org/officeDocument/2006/relationships/image" Target="../media/image88.png"/><Relationship Id="rId11" Type="http://schemas.openxmlformats.org/officeDocument/2006/relationships/image" Target="../media/image12.png"/><Relationship Id="rId99" Type="http://schemas.openxmlformats.org/officeDocument/2006/relationships/image" Target="../media/image101.png"/><Relationship Id="rId10" Type="http://schemas.openxmlformats.org/officeDocument/2006/relationships/image" Target="../media/image19.png"/><Relationship Id="rId98" Type="http://schemas.openxmlformats.org/officeDocument/2006/relationships/image" Target="../media/image93.png"/><Relationship Id="rId13" Type="http://schemas.openxmlformats.org/officeDocument/2006/relationships/image" Target="../media/image9.png"/><Relationship Id="rId12" Type="http://schemas.openxmlformats.org/officeDocument/2006/relationships/image" Target="../media/image16.png"/><Relationship Id="rId91" Type="http://schemas.openxmlformats.org/officeDocument/2006/relationships/image" Target="../media/image82.png"/><Relationship Id="rId90" Type="http://schemas.openxmlformats.org/officeDocument/2006/relationships/image" Target="../media/image84.png"/><Relationship Id="rId93" Type="http://schemas.openxmlformats.org/officeDocument/2006/relationships/image" Target="../media/image138.png"/><Relationship Id="rId92" Type="http://schemas.openxmlformats.org/officeDocument/2006/relationships/image" Target="../media/image89.png"/><Relationship Id="rId118" Type="http://schemas.openxmlformats.org/officeDocument/2006/relationships/image" Target="../media/image105.png"/><Relationship Id="rId117" Type="http://schemas.openxmlformats.org/officeDocument/2006/relationships/image" Target="../media/image106.png"/><Relationship Id="rId116" Type="http://schemas.openxmlformats.org/officeDocument/2006/relationships/image" Target="../media/image107.png"/><Relationship Id="rId115" Type="http://schemas.openxmlformats.org/officeDocument/2006/relationships/image" Target="../media/image191.png"/><Relationship Id="rId119" Type="http://schemas.openxmlformats.org/officeDocument/2006/relationships/image" Target="../media/image110.png"/><Relationship Id="rId15" Type="http://schemas.openxmlformats.org/officeDocument/2006/relationships/image" Target="../media/image5.png"/><Relationship Id="rId110" Type="http://schemas.openxmlformats.org/officeDocument/2006/relationships/image" Target="../media/image102.png"/><Relationship Id="rId14" Type="http://schemas.openxmlformats.org/officeDocument/2006/relationships/image" Target="../media/image14.png"/><Relationship Id="rId17" Type="http://schemas.openxmlformats.org/officeDocument/2006/relationships/image" Target="../media/image17.png"/><Relationship Id="rId16" Type="http://schemas.openxmlformats.org/officeDocument/2006/relationships/image" Target="../media/image13.png"/><Relationship Id="rId19" Type="http://schemas.openxmlformats.org/officeDocument/2006/relationships/image" Target="../media/image3.png"/><Relationship Id="rId114" Type="http://schemas.openxmlformats.org/officeDocument/2006/relationships/image" Target="../media/image113.png"/><Relationship Id="rId18" Type="http://schemas.openxmlformats.org/officeDocument/2006/relationships/image" Target="../media/image79.png"/><Relationship Id="rId113" Type="http://schemas.openxmlformats.org/officeDocument/2006/relationships/image" Target="../media/image127.png"/><Relationship Id="rId112" Type="http://schemas.openxmlformats.org/officeDocument/2006/relationships/image" Target="../media/image128.png"/><Relationship Id="rId111" Type="http://schemas.openxmlformats.org/officeDocument/2006/relationships/image" Target="../media/image103.png"/><Relationship Id="rId84" Type="http://schemas.openxmlformats.org/officeDocument/2006/relationships/image" Target="../media/image71.png"/><Relationship Id="rId83" Type="http://schemas.openxmlformats.org/officeDocument/2006/relationships/image" Target="../media/image75.png"/><Relationship Id="rId86" Type="http://schemas.openxmlformats.org/officeDocument/2006/relationships/image" Target="../media/image91.png"/><Relationship Id="rId85" Type="http://schemas.openxmlformats.org/officeDocument/2006/relationships/image" Target="../media/image83.png"/><Relationship Id="rId88" Type="http://schemas.openxmlformats.org/officeDocument/2006/relationships/image" Target="../media/image95.png"/><Relationship Id="rId87" Type="http://schemas.openxmlformats.org/officeDocument/2006/relationships/image" Target="../media/image78.png"/><Relationship Id="rId89" Type="http://schemas.openxmlformats.org/officeDocument/2006/relationships/image" Target="../media/image154.png"/><Relationship Id="rId80" Type="http://schemas.openxmlformats.org/officeDocument/2006/relationships/image" Target="../media/image64.png"/><Relationship Id="rId82" Type="http://schemas.openxmlformats.org/officeDocument/2006/relationships/image" Target="../media/image72.png"/><Relationship Id="rId81" Type="http://schemas.openxmlformats.org/officeDocument/2006/relationships/image" Target="../media/image94.png"/><Relationship Id="rId1" Type="http://schemas.openxmlformats.org/officeDocument/2006/relationships/image" Target="../media/image4.png"/><Relationship Id="rId2" Type="http://schemas.openxmlformats.org/officeDocument/2006/relationships/image" Target="../media/image2.png"/><Relationship Id="rId3" Type="http://schemas.openxmlformats.org/officeDocument/2006/relationships/image" Target="../media/image11.png"/><Relationship Id="rId4" Type="http://schemas.openxmlformats.org/officeDocument/2006/relationships/image" Target="../media/image52.png"/><Relationship Id="rId9" Type="http://schemas.openxmlformats.org/officeDocument/2006/relationships/image" Target="../media/image30.png"/><Relationship Id="rId5" Type="http://schemas.openxmlformats.org/officeDocument/2006/relationships/image" Target="../media/image10.png"/><Relationship Id="rId6" Type="http://schemas.openxmlformats.org/officeDocument/2006/relationships/image" Target="../media/image8.png"/><Relationship Id="rId7" Type="http://schemas.openxmlformats.org/officeDocument/2006/relationships/image" Target="../media/image15.png"/><Relationship Id="rId8" Type="http://schemas.openxmlformats.org/officeDocument/2006/relationships/image" Target="../media/image21.png"/><Relationship Id="rId73" Type="http://schemas.openxmlformats.org/officeDocument/2006/relationships/image" Target="../media/image62.png"/><Relationship Id="rId72" Type="http://schemas.openxmlformats.org/officeDocument/2006/relationships/image" Target="../media/image61.png"/><Relationship Id="rId75" Type="http://schemas.openxmlformats.org/officeDocument/2006/relationships/image" Target="../media/image92.png"/><Relationship Id="rId74" Type="http://schemas.openxmlformats.org/officeDocument/2006/relationships/image" Target="../media/image86.png"/><Relationship Id="rId77" Type="http://schemas.openxmlformats.org/officeDocument/2006/relationships/image" Target="../media/image65.png"/><Relationship Id="rId76" Type="http://schemas.openxmlformats.org/officeDocument/2006/relationships/image" Target="../media/image60.png"/><Relationship Id="rId79" Type="http://schemas.openxmlformats.org/officeDocument/2006/relationships/image" Target="../media/image66.png"/><Relationship Id="rId78" Type="http://schemas.openxmlformats.org/officeDocument/2006/relationships/image" Target="../media/image69.png"/><Relationship Id="rId71" Type="http://schemas.openxmlformats.org/officeDocument/2006/relationships/image" Target="../media/image80.png"/><Relationship Id="rId70" Type="http://schemas.openxmlformats.org/officeDocument/2006/relationships/image" Target="../media/image70.png"/><Relationship Id="rId138" Type="http://schemas.openxmlformats.org/officeDocument/2006/relationships/image" Target="../media/image137.png"/><Relationship Id="rId137" Type="http://schemas.openxmlformats.org/officeDocument/2006/relationships/image" Target="../media/image140.png"/><Relationship Id="rId132" Type="http://schemas.openxmlformats.org/officeDocument/2006/relationships/image" Target="../media/image118.png"/><Relationship Id="rId131" Type="http://schemas.openxmlformats.org/officeDocument/2006/relationships/image" Target="../media/image119.png"/><Relationship Id="rId130" Type="http://schemas.openxmlformats.org/officeDocument/2006/relationships/image" Target="../media/image157.png"/><Relationship Id="rId136" Type="http://schemas.openxmlformats.org/officeDocument/2006/relationships/image" Target="../media/image150.png"/><Relationship Id="rId135" Type="http://schemas.openxmlformats.org/officeDocument/2006/relationships/image" Target="../media/image174.png"/><Relationship Id="rId134" Type="http://schemas.openxmlformats.org/officeDocument/2006/relationships/image" Target="../media/image149.png"/><Relationship Id="rId133" Type="http://schemas.openxmlformats.org/officeDocument/2006/relationships/image" Target="../media/image121.png"/><Relationship Id="rId62" Type="http://schemas.openxmlformats.org/officeDocument/2006/relationships/image" Target="../media/image58.png"/><Relationship Id="rId61" Type="http://schemas.openxmlformats.org/officeDocument/2006/relationships/image" Target="../media/image49.png"/><Relationship Id="rId64" Type="http://schemas.openxmlformats.org/officeDocument/2006/relationships/image" Target="../media/image48.png"/><Relationship Id="rId63" Type="http://schemas.openxmlformats.org/officeDocument/2006/relationships/image" Target="../media/image59.png"/><Relationship Id="rId66" Type="http://schemas.openxmlformats.org/officeDocument/2006/relationships/image" Target="../media/image57.png"/><Relationship Id="rId65" Type="http://schemas.openxmlformats.org/officeDocument/2006/relationships/image" Target="../media/image76.png"/><Relationship Id="rId68" Type="http://schemas.openxmlformats.org/officeDocument/2006/relationships/image" Target="../media/image68.png"/><Relationship Id="rId67" Type="http://schemas.openxmlformats.org/officeDocument/2006/relationships/image" Target="../media/image63.png"/><Relationship Id="rId60" Type="http://schemas.openxmlformats.org/officeDocument/2006/relationships/image" Target="../media/image74.png"/><Relationship Id="rId69" Type="http://schemas.openxmlformats.org/officeDocument/2006/relationships/image" Target="../media/image55.png"/><Relationship Id="rId51" Type="http://schemas.openxmlformats.org/officeDocument/2006/relationships/image" Target="../media/image35.png"/><Relationship Id="rId50" Type="http://schemas.openxmlformats.org/officeDocument/2006/relationships/image" Target="../media/image32.png"/><Relationship Id="rId53" Type="http://schemas.openxmlformats.org/officeDocument/2006/relationships/image" Target="../media/image40.png"/><Relationship Id="rId52" Type="http://schemas.openxmlformats.org/officeDocument/2006/relationships/image" Target="../media/image34.png"/><Relationship Id="rId55" Type="http://schemas.openxmlformats.org/officeDocument/2006/relationships/image" Target="../media/image43.png"/><Relationship Id="rId54" Type="http://schemas.openxmlformats.org/officeDocument/2006/relationships/image" Target="../media/image39.png"/><Relationship Id="rId57" Type="http://schemas.openxmlformats.org/officeDocument/2006/relationships/image" Target="../media/image46.png"/><Relationship Id="rId56" Type="http://schemas.openxmlformats.org/officeDocument/2006/relationships/image" Target="../media/image47.png"/><Relationship Id="rId59" Type="http://schemas.openxmlformats.org/officeDocument/2006/relationships/image" Target="../media/image73.png"/><Relationship Id="rId58" Type="http://schemas.openxmlformats.org/officeDocument/2006/relationships/image" Target="../media/image77.png"/></Relationships>
</file>

<file path=xl/drawings/_rels/drawing6.xml.rels><?xml version="1.0" encoding="UTF-8" standalone="yes"?><Relationships xmlns="http://schemas.openxmlformats.org/package/2006/relationships"><Relationship Id="rId40" Type="http://schemas.openxmlformats.org/officeDocument/2006/relationships/image" Target="../media/image172.png"/><Relationship Id="rId190" Type="http://schemas.openxmlformats.org/officeDocument/2006/relationships/image" Target="../media/image321.png"/><Relationship Id="rId42" Type="http://schemas.openxmlformats.org/officeDocument/2006/relationships/image" Target="../media/image176.png"/><Relationship Id="rId41" Type="http://schemas.openxmlformats.org/officeDocument/2006/relationships/image" Target="../media/image178.png"/><Relationship Id="rId44" Type="http://schemas.openxmlformats.org/officeDocument/2006/relationships/image" Target="../media/image177.png"/><Relationship Id="rId194" Type="http://schemas.openxmlformats.org/officeDocument/2006/relationships/image" Target="../media/image372.png"/><Relationship Id="rId43" Type="http://schemas.openxmlformats.org/officeDocument/2006/relationships/image" Target="../media/image179.png"/><Relationship Id="rId193" Type="http://schemas.openxmlformats.org/officeDocument/2006/relationships/image" Target="../media/image327.png"/><Relationship Id="rId46" Type="http://schemas.openxmlformats.org/officeDocument/2006/relationships/image" Target="../media/image188.png"/><Relationship Id="rId192" Type="http://schemas.openxmlformats.org/officeDocument/2006/relationships/image" Target="../media/image322.png"/><Relationship Id="rId45" Type="http://schemas.openxmlformats.org/officeDocument/2006/relationships/image" Target="../media/image181.png"/><Relationship Id="rId191" Type="http://schemas.openxmlformats.org/officeDocument/2006/relationships/image" Target="../media/image323.png"/><Relationship Id="rId48" Type="http://schemas.openxmlformats.org/officeDocument/2006/relationships/image" Target="../media/image197.png"/><Relationship Id="rId187" Type="http://schemas.openxmlformats.org/officeDocument/2006/relationships/image" Target="../media/image320.png"/><Relationship Id="rId47" Type="http://schemas.openxmlformats.org/officeDocument/2006/relationships/image" Target="../media/image182.png"/><Relationship Id="rId186" Type="http://schemas.openxmlformats.org/officeDocument/2006/relationships/image" Target="../media/image317.png"/><Relationship Id="rId185" Type="http://schemas.openxmlformats.org/officeDocument/2006/relationships/image" Target="../media/image318.png"/><Relationship Id="rId49" Type="http://schemas.openxmlformats.org/officeDocument/2006/relationships/image" Target="../media/image183.png"/><Relationship Id="rId184" Type="http://schemas.openxmlformats.org/officeDocument/2006/relationships/image" Target="../media/image315.png"/><Relationship Id="rId189" Type="http://schemas.openxmlformats.org/officeDocument/2006/relationships/image" Target="../media/image329.png"/><Relationship Id="rId188" Type="http://schemas.openxmlformats.org/officeDocument/2006/relationships/image" Target="../media/image370.png"/><Relationship Id="rId31" Type="http://schemas.openxmlformats.org/officeDocument/2006/relationships/image" Target="../media/image163.png"/><Relationship Id="rId30" Type="http://schemas.openxmlformats.org/officeDocument/2006/relationships/image" Target="../media/image164.png"/><Relationship Id="rId33" Type="http://schemas.openxmlformats.org/officeDocument/2006/relationships/image" Target="../media/image160.png"/><Relationship Id="rId183" Type="http://schemas.openxmlformats.org/officeDocument/2006/relationships/image" Target="../media/image319.png"/><Relationship Id="rId32" Type="http://schemas.openxmlformats.org/officeDocument/2006/relationships/image" Target="../media/image171.png"/><Relationship Id="rId182" Type="http://schemas.openxmlformats.org/officeDocument/2006/relationships/image" Target="../media/image313.png"/><Relationship Id="rId35" Type="http://schemas.openxmlformats.org/officeDocument/2006/relationships/image" Target="../media/image167.png"/><Relationship Id="rId181" Type="http://schemas.openxmlformats.org/officeDocument/2006/relationships/image" Target="../media/image388.png"/><Relationship Id="rId34" Type="http://schemas.openxmlformats.org/officeDocument/2006/relationships/image" Target="../media/image175.png"/><Relationship Id="rId180" Type="http://schemas.openxmlformats.org/officeDocument/2006/relationships/image" Target="../media/image312.png"/><Relationship Id="rId37" Type="http://schemas.openxmlformats.org/officeDocument/2006/relationships/image" Target="../media/image173.png"/><Relationship Id="rId176" Type="http://schemas.openxmlformats.org/officeDocument/2006/relationships/image" Target="../media/image316.png"/><Relationship Id="rId36" Type="http://schemas.openxmlformats.org/officeDocument/2006/relationships/image" Target="../media/image168.png"/><Relationship Id="rId175" Type="http://schemas.openxmlformats.org/officeDocument/2006/relationships/image" Target="../media/image314.png"/><Relationship Id="rId39" Type="http://schemas.openxmlformats.org/officeDocument/2006/relationships/image" Target="../media/image298.png"/><Relationship Id="rId174" Type="http://schemas.openxmlformats.org/officeDocument/2006/relationships/image" Target="../media/image309.png"/><Relationship Id="rId38" Type="http://schemas.openxmlformats.org/officeDocument/2006/relationships/image" Target="../media/image169.png"/><Relationship Id="rId173" Type="http://schemas.openxmlformats.org/officeDocument/2006/relationships/image" Target="../media/image307.png"/><Relationship Id="rId179" Type="http://schemas.openxmlformats.org/officeDocument/2006/relationships/image" Target="../media/image324.png"/><Relationship Id="rId178" Type="http://schemas.openxmlformats.org/officeDocument/2006/relationships/image" Target="../media/image310.png"/><Relationship Id="rId177" Type="http://schemas.openxmlformats.org/officeDocument/2006/relationships/image" Target="../media/image311.png"/><Relationship Id="rId20" Type="http://schemas.openxmlformats.org/officeDocument/2006/relationships/image" Target="../media/image147.png"/><Relationship Id="rId22" Type="http://schemas.openxmlformats.org/officeDocument/2006/relationships/image" Target="../media/image153.png"/><Relationship Id="rId21" Type="http://schemas.openxmlformats.org/officeDocument/2006/relationships/image" Target="../media/image170.png"/><Relationship Id="rId24" Type="http://schemas.openxmlformats.org/officeDocument/2006/relationships/image" Target="../media/image152.png"/><Relationship Id="rId23" Type="http://schemas.openxmlformats.org/officeDocument/2006/relationships/image" Target="../media/image161.png"/><Relationship Id="rId26" Type="http://schemas.openxmlformats.org/officeDocument/2006/relationships/image" Target="../media/image151.png"/><Relationship Id="rId25" Type="http://schemas.openxmlformats.org/officeDocument/2006/relationships/image" Target="../media/image155.png"/><Relationship Id="rId28" Type="http://schemas.openxmlformats.org/officeDocument/2006/relationships/image" Target="../media/image165.png"/><Relationship Id="rId27" Type="http://schemas.openxmlformats.org/officeDocument/2006/relationships/image" Target="../media/image166.png"/><Relationship Id="rId29" Type="http://schemas.openxmlformats.org/officeDocument/2006/relationships/image" Target="../media/image159.png"/><Relationship Id="rId11" Type="http://schemas.openxmlformats.org/officeDocument/2006/relationships/image" Target="../media/image143.png"/><Relationship Id="rId10" Type="http://schemas.openxmlformats.org/officeDocument/2006/relationships/image" Target="../media/image136.png"/><Relationship Id="rId13" Type="http://schemas.openxmlformats.org/officeDocument/2006/relationships/image" Target="../media/image146.png"/><Relationship Id="rId12" Type="http://schemas.openxmlformats.org/officeDocument/2006/relationships/image" Target="../media/image141.png"/><Relationship Id="rId15" Type="http://schemas.openxmlformats.org/officeDocument/2006/relationships/image" Target="../media/image158.png"/><Relationship Id="rId198" Type="http://schemas.openxmlformats.org/officeDocument/2006/relationships/image" Target="../media/image386.png"/><Relationship Id="rId14" Type="http://schemas.openxmlformats.org/officeDocument/2006/relationships/image" Target="../media/image145.png"/><Relationship Id="rId197" Type="http://schemas.openxmlformats.org/officeDocument/2006/relationships/image" Target="../media/image328.png"/><Relationship Id="rId17" Type="http://schemas.openxmlformats.org/officeDocument/2006/relationships/image" Target="../media/image142.png"/><Relationship Id="rId196" Type="http://schemas.openxmlformats.org/officeDocument/2006/relationships/image" Target="../media/image330.png"/><Relationship Id="rId16" Type="http://schemas.openxmlformats.org/officeDocument/2006/relationships/image" Target="../media/image144.png"/><Relationship Id="rId195" Type="http://schemas.openxmlformats.org/officeDocument/2006/relationships/image" Target="../media/image326.png"/><Relationship Id="rId19" Type="http://schemas.openxmlformats.org/officeDocument/2006/relationships/image" Target="../media/image156.png"/><Relationship Id="rId18" Type="http://schemas.openxmlformats.org/officeDocument/2006/relationships/image" Target="../media/image148.png"/><Relationship Id="rId199" Type="http://schemas.openxmlformats.org/officeDocument/2006/relationships/image" Target="../media/image332.png"/><Relationship Id="rId84" Type="http://schemas.openxmlformats.org/officeDocument/2006/relationships/image" Target="../media/image213.png"/><Relationship Id="rId83" Type="http://schemas.openxmlformats.org/officeDocument/2006/relationships/image" Target="../media/image223.png"/><Relationship Id="rId86" Type="http://schemas.openxmlformats.org/officeDocument/2006/relationships/image" Target="../media/image215.png"/><Relationship Id="rId85" Type="http://schemas.openxmlformats.org/officeDocument/2006/relationships/image" Target="../media/image214.png"/><Relationship Id="rId88" Type="http://schemas.openxmlformats.org/officeDocument/2006/relationships/image" Target="../media/image222.png"/><Relationship Id="rId150" Type="http://schemas.openxmlformats.org/officeDocument/2006/relationships/image" Target="../media/image280.png"/><Relationship Id="rId87" Type="http://schemas.openxmlformats.org/officeDocument/2006/relationships/image" Target="../media/image218.png"/><Relationship Id="rId89" Type="http://schemas.openxmlformats.org/officeDocument/2006/relationships/image" Target="../media/image225.png"/><Relationship Id="rId80" Type="http://schemas.openxmlformats.org/officeDocument/2006/relationships/image" Target="../media/image219.png"/><Relationship Id="rId82" Type="http://schemas.openxmlformats.org/officeDocument/2006/relationships/image" Target="../media/image221.png"/><Relationship Id="rId81" Type="http://schemas.openxmlformats.org/officeDocument/2006/relationships/image" Target="../media/image216.png"/><Relationship Id="rId1" Type="http://schemas.openxmlformats.org/officeDocument/2006/relationships/image" Target="../media/image123.png"/><Relationship Id="rId2" Type="http://schemas.openxmlformats.org/officeDocument/2006/relationships/image" Target="../media/image122.png"/><Relationship Id="rId3" Type="http://schemas.openxmlformats.org/officeDocument/2006/relationships/image" Target="../media/image132.png"/><Relationship Id="rId149" Type="http://schemas.openxmlformats.org/officeDocument/2006/relationships/image" Target="../media/image281.png"/><Relationship Id="rId4" Type="http://schemas.openxmlformats.org/officeDocument/2006/relationships/image" Target="../media/image131.png"/><Relationship Id="rId148" Type="http://schemas.openxmlformats.org/officeDocument/2006/relationships/image" Target="../media/image278.png"/><Relationship Id="rId9" Type="http://schemas.openxmlformats.org/officeDocument/2006/relationships/image" Target="../media/image134.png"/><Relationship Id="rId143" Type="http://schemas.openxmlformats.org/officeDocument/2006/relationships/image" Target="../media/image354.png"/><Relationship Id="rId142" Type="http://schemas.openxmlformats.org/officeDocument/2006/relationships/image" Target="../media/image304.png"/><Relationship Id="rId141" Type="http://schemas.openxmlformats.org/officeDocument/2006/relationships/image" Target="../media/image275.png"/><Relationship Id="rId140" Type="http://schemas.openxmlformats.org/officeDocument/2006/relationships/image" Target="../media/image277.png"/><Relationship Id="rId5" Type="http://schemas.openxmlformats.org/officeDocument/2006/relationships/image" Target="../media/image130.png"/><Relationship Id="rId147" Type="http://schemas.openxmlformats.org/officeDocument/2006/relationships/image" Target="../media/image306.png"/><Relationship Id="rId6" Type="http://schemas.openxmlformats.org/officeDocument/2006/relationships/image" Target="../media/image129.png"/><Relationship Id="rId146" Type="http://schemas.openxmlformats.org/officeDocument/2006/relationships/image" Target="../media/image292.png"/><Relationship Id="rId7" Type="http://schemas.openxmlformats.org/officeDocument/2006/relationships/image" Target="../media/image133.png"/><Relationship Id="rId145" Type="http://schemas.openxmlformats.org/officeDocument/2006/relationships/image" Target="../media/image282.png"/><Relationship Id="rId8" Type="http://schemas.openxmlformats.org/officeDocument/2006/relationships/image" Target="../media/image135.png"/><Relationship Id="rId144" Type="http://schemas.openxmlformats.org/officeDocument/2006/relationships/image" Target="../media/image294.png"/><Relationship Id="rId73" Type="http://schemas.openxmlformats.org/officeDocument/2006/relationships/image" Target="../media/image208.png"/><Relationship Id="rId72" Type="http://schemas.openxmlformats.org/officeDocument/2006/relationships/image" Target="../media/image204.png"/><Relationship Id="rId75" Type="http://schemas.openxmlformats.org/officeDocument/2006/relationships/image" Target="../media/image230.png"/><Relationship Id="rId74" Type="http://schemas.openxmlformats.org/officeDocument/2006/relationships/image" Target="../media/image207.png"/><Relationship Id="rId77" Type="http://schemas.openxmlformats.org/officeDocument/2006/relationships/image" Target="../media/image211.png"/><Relationship Id="rId76" Type="http://schemas.openxmlformats.org/officeDocument/2006/relationships/image" Target="../media/image217.png"/><Relationship Id="rId79" Type="http://schemas.openxmlformats.org/officeDocument/2006/relationships/image" Target="../media/image220.png"/><Relationship Id="rId78" Type="http://schemas.openxmlformats.org/officeDocument/2006/relationships/image" Target="../media/image260.png"/><Relationship Id="rId71" Type="http://schemas.openxmlformats.org/officeDocument/2006/relationships/image" Target="../media/image210.png"/><Relationship Id="rId70" Type="http://schemas.openxmlformats.org/officeDocument/2006/relationships/image" Target="../media/image206.png"/><Relationship Id="rId139" Type="http://schemas.openxmlformats.org/officeDocument/2006/relationships/image" Target="../media/image274.png"/><Relationship Id="rId138" Type="http://schemas.openxmlformats.org/officeDocument/2006/relationships/image" Target="../media/image271.png"/><Relationship Id="rId137" Type="http://schemas.openxmlformats.org/officeDocument/2006/relationships/image" Target="../media/image270.png"/><Relationship Id="rId132" Type="http://schemas.openxmlformats.org/officeDocument/2006/relationships/image" Target="../media/image262.png"/><Relationship Id="rId131" Type="http://schemas.openxmlformats.org/officeDocument/2006/relationships/image" Target="../media/image268.png"/><Relationship Id="rId130" Type="http://schemas.openxmlformats.org/officeDocument/2006/relationships/image" Target="../media/image265.png"/><Relationship Id="rId251" Type="http://schemas.openxmlformats.org/officeDocument/2006/relationships/image" Target="../media/image387.png"/><Relationship Id="rId250" Type="http://schemas.openxmlformats.org/officeDocument/2006/relationships/image" Target="../media/image385.png"/><Relationship Id="rId136" Type="http://schemas.openxmlformats.org/officeDocument/2006/relationships/image" Target="../media/image272.png"/><Relationship Id="rId135" Type="http://schemas.openxmlformats.org/officeDocument/2006/relationships/image" Target="../media/image267.png"/><Relationship Id="rId134" Type="http://schemas.openxmlformats.org/officeDocument/2006/relationships/image" Target="../media/image266.png"/><Relationship Id="rId133" Type="http://schemas.openxmlformats.org/officeDocument/2006/relationships/image" Target="../media/image264.png"/><Relationship Id="rId62" Type="http://schemas.openxmlformats.org/officeDocument/2006/relationships/image" Target="../media/image193.png"/><Relationship Id="rId61" Type="http://schemas.openxmlformats.org/officeDocument/2006/relationships/image" Target="../media/image199.png"/><Relationship Id="rId64" Type="http://schemas.openxmlformats.org/officeDocument/2006/relationships/image" Target="../media/image196.png"/><Relationship Id="rId63" Type="http://schemas.openxmlformats.org/officeDocument/2006/relationships/image" Target="../media/image192.png"/><Relationship Id="rId66" Type="http://schemas.openxmlformats.org/officeDocument/2006/relationships/image" Target="../media/image198.png"/><Relationship Id="rId172" Type="http://schemas.openxmlformats.org/officeDocument/2006/relationships/image" Target="../media/image303.png"/><Relationship Id="rId65" Type="http://schemas.openxmlformats.org/officeDocument/2006/relationships/image" Target="../media/image205.png"/><Relationship Id="rId171" Type="http://schemas.openxmlformats.org/officeDocument/2006/relationships/image" Target="../media/image308.png"/><Relationship Id="rId68" Type="http://schemas.openxmlformats.org/officeDocument/2006/relationships/image" Target="../media/image200.png"/><Relationship Id="rId170" Type="http://schemas.openxmlformats.org/officeDocument/2006/relationships/image" Target="../media/image302.png"/><Relationship Id="rId67" Type="http://schemas.openxmlformats.org/officeDocument/2006/relationships/image" Target="../media/image201.png"/><Relationship Id="rId60" Type="http://schemas.openxmlformats.org/officeDocument/2006/relationships/image" Target="../media/image202.png"/><Relationship Id="rId165" Type="http://schemas.openxmlformats.org/officeDocument/2006/relationships/image" Target="../media/image296.png"/><Relationship Id="rId69" Type="http://schemas.openxmlformats.org/officeDocument/2006/relationships/image" Target="../media/image203.png"/><Relationship Id="rId164" Type="http://schemas.openxmlformats.org/officeDocument/2006/relationships/image" Target="../media/image293.png"/><Relationship Id="rId163" Type="http://schemas.openxmlformats.org/officeDocument/2006/relationships/image" Target="../media/image297.png"/><Relationship Id="rId162" Type="http://schemas.openxmlformats.org/officeDocument/2006/relationships/image" Target="../media/image295.png"/><Relationship Id="rId169" Type="http://schemas.openxmlformats.org/officeDocument/2006/relationships/image" Target="../media/image299.png"/><Relationship Id="rId168" Type="http://schemas.openxmlformats.org/officeDocument/2006/relationships/image" Target="../media/image305.png"/><Relationship Id="rId167" Type="http://schemas.openxmlformats.org/officeDocument/2006/relationships/image" Target="../media/image301.png"/><Relationship Id="rId166" Type="http://schemas.openxmlformats.org/officeDocument/2006/relationships/image" Target="../media/image300.png"/><Relationship Id="rId51" Type="http://schemas.openxmlformats.org/officeDocument/2006/relationships/image" Target="../media/image185.png"/><Relationship Id="rId50" Type="http://schemas.openxmlformats.org/officeDocument/2006/relationships/image" Target="../media/image187.png"/><Relationship Id="rId53" Type="http://schemas.openxmlformats.org/officeDocument/2006/relationships/image" Target="../media/image195.png"/><Relationship Id="rId52" Type="http://schemas.openxmlformats.org/officeDocument/2006/relationships/image" Target="../media/image184.png"/><Relationship Id="rId55" Type="http://schemas.openxmlformats.org/officeDocument/2006/relationships/image" Target="../media/image190.png"/><Relationship Id="rId161" Type="http://schemas.openxmlformats.org/officeDocument/2006/relationships/image" Target="../media/image288.png"/><Relationship Id="rId54" Type="http://schemas.openxmlformats.org/officeDocument/2006/relationships/image" Target="../media/image366.png"/><Relationship Id="rId160" Type="http://schemas.openxmlformats.org/officeDocument/2006/relationships/image" Target="../media/image290.png"/><Relationship Id="rId57" Type="http://schemas.openxmlformats.org/officeDocument/2006/relationships/image" Target="../media/image189.png"/><Relationship Id="rId56" Type="http://schemas.openxmlformats.org/officeDocument/2006/relationships/image" Target="../media/image186.png"/><Relationship Id="rId159" Type="http://schemas.openxmlformats.org/officeDocument/2006/relationships/image" Target="../media/image289.png"/><Relationship Id="rId59" Type="http://schemas.openxmlformats.org/officeDocument/2006/relationships/image" Target="../media/image194.png"/><Relationship Id="rId154" Type="http://schemas.openxmlformats.org/officeDocument/2006/relationships/image" Target="../media/image285.png"/><Relationship Id="rId58" Type="http://schemas.openxmlformats.org/officeDocument/2006/relationships/image" Target="../media/image209.png"/><Relationship Id="rId153" Type="http://schemas.openxmlformats.org/officeDocument/2006/relationships/image" Target="../media/image284.png"/><Relationship Id="rId152" Type="http://schemas.openxmlformats.org/officeDocument/2006/relationships/image" Target="../media/image283.png"/><Relationship Id="rId151" Type="http://schemas.openxmlformats.org/officeDocument/2006/relationships/image" Target="../media/image279.png"/><Relationship Id="rId158" Type="http://schemas.openxmlformats.org/officeDocument/2006/relationships/image" Target="../media/image325.png"/><Relationship Id="rId157" Type="http://schemas.openxmlformats.org/officeDocument/2006/relationships/image" Target="../media/image291.png"/><Relationship Id="rId156" Type="http://schemas.openxmlformats.org/officeDocument/2006/relationships/image" Target="../media/image287.png"/><Relationship Id="rId155" Type="http://schemas.openxmlformats.org/officeDocument/2006/relationships/image" Target="../media/image286.png"/><Relationship Id="rId107" Type="http://schemas.openxmlformats.org/officeDocument/2006/relationships/image" Target="../media/image238.png"/><Relationship Id="rId228" Type="http://schemas.openxmlformats.org/officeDocument/2006/relationships/image" Target="../media/image363.png"/><Relationship Id="rId106" Type="http://schemas.openxmlformats.org/officeDocument/2006/relationships/image" Target="../media/image240.png"/><Relationship Id="rId227" Type="http://schemas.openxmlformats.org/officeDocument/2006/relationships/image" Target="../media/image360.png"/><Relationship Id="rId105" Type="http://schemas.openxmlformats.org/officeDocument/2006/relationships/image" Target="../media/image239.png"/><Relationship Id="rId226" Type="http://schemas.openxmlformats.org/officeDocument/2006/relationships/image" Target="../media/image357.png"/><Relationship Id="rId104" Type="http://schemas.openxmlformats.org/officeDocument/2006/relationships/image" Target="../media/image237.png"/><Relationship Id="rId225" Type="http://schemas.openxmlformats.org/officeDocument/2006/relationships/image" Target="../media/image367.png"/><Relationship Id="rId109" Type="http://schemas.openxmlformats.org/officeDocument/2006/relationships/image" Target="../media/image246.png"/><Relationship Id="rId108" Type="http://schemas.openxmlformats.org/officeDocument/2006/relationships/image" Target="../media/image245.png"/><Relationship Id="rId229" Type="http://schemas.openxmlformats.org/officeDocument/2006/relationships/image" Target="../media/image359.png"/><Relationship Id="rId220" Type="http://schemas.openxmlformats.org/officeDocument/2006/relationships/image" Target="../media/image349.png"/><Relationship Id="rId103" Type="http://schemas.openxmlformats.org/officeDocument/2006/relationships/image" Target="../media/image232.png"/><Relationship Id="rId224" Type="http://schemas.openxmlformats.org/officeDocument/2006/relationships/image" Target="../media/image356.png"/><Relationship Id="rId102" Type="http://schemas.openxmlformats.org/officeDocument/2006/relationships/image" Target="../media/image236.png"/><Relationship Id="rId223" Type="http://schemas.openxmlformats.org/officeDocument/2006/relationships/image" Target="../media/image352.png"/><Relationship Id="rId101" Type="http://schemas.openxmlformats.org/officeDocument/2006/relationships/image" Target="../media/image235.png"/><Relationship Id="rId222" Type="http://schemas.openxmlformats.org/officeDocument/2006/relationships/image" Target="../media/image355.png"/><Relationship Id="rId100" Type="http://schemas.openxmlformats.org/officeDocument/2006/relationships/image" Target="../media/image234.png"/><Relationship Id="rId221" Type="http://schemas.openxmlformats.org/officeDocument/2006/relationships/image" Target="../media/image365.png"/><Relationship Id="rId217" Type="http://schemas.openxmlformats.org/officeDocument/2006/relationships/image" Target="../media/image350.png"/><Relationship Id="rId216" Type="http://schemas.openxmlformats.org/officeDocument/2006/relationships/image" Target="../media/image346.png"/><Relationship Id="rId215" Type="http://schemas.openxmlformats.org/officeDocument/2006/relationships/image" Target="../media/image345.png"/><Relationship Id="rId214" Type="http://schemas.openxmlformats.org/officeDocument/2006/relationships/image" Target="../media/image347.png"/><Relationship Id="rId219" Type="http://schemas.openxmlformats.org/officeDocument/2006/relationships/image" Target="../media/image353.png"/><Relationship Id="rId218" Type="http://schemas.openxmlformats.org/officeDocument/2006/relationships/image" Target="../media/image371.png"/><Relationship Id="rId213" Type="http://schemas.openxmlformats.org/officeDocument/2006/relationships/image" Target="../media/image351.png"/><Relationship Id="rId212" Type="http://schemas.openxmlformats.org/officeDocument/2006/relationships/image" Target="../media/image343.png"/><Relationship Id="rId211" Type="http://schemas.openxmlformats.org/officeDocument/2006/relationships/image" Target="../media/image342.png"/><Relationship Id="rId210" Type="http://schemas.openxmlformats.org/officeDocument/2006/relationships/image" Target="../media/image341.png"/><Relationship Id="rId129" Type="http://schemas.openxmlformats.org/officeDocument/2006/relationships/image" Target="../media/image261.png"/><Relationship Id="rId128" Type="http://schemas.openxmlformats.org/officeDocument/2006/relationships/image" Target="../media/image273.png"/><Relationship Id="rId249" Type="http://schemas.openxmlformats.org/officeDocument/2006/relationships/image" Target="../media/image384.png"/><Relationship Id="rId127" Type="http://schemas.openxmlformats.org/officeDocument/2006/relationships/image" Target="../media/image263.png"/><Relationship Id="rId248" Type="http://schemas.openxmlformats.org/officeDocument/2006/relationships/image" Target="../media/image383.png"/><Relationship Id="rId126" Type="http://schemas.openxmlformats.org/officeDocument/2006/relationships/image" Target="../media/image256.png"/><Relationship Id="rId247" Type="http://schemas.openxmlformats.org/officeDocument/2006/relationships/image" Target="../media/image382.png"/><Relationship Id="rId121" Type="http://schemas.openxmlformats.org/officeDocument/2006/relationships/image" Target="../media/image255.png"/><Relationship Id="rId242" Type="http://schemas.openxmlformats.org/officeDocument/2006/relationships/image" Target="../media/image377.png"/><Relationship Id="rId120" Type="http://schemas.openxmlformats.org/officeDocument/2006/relationships/image" Target="../media/image258.png"/><Relationship Id="rId241" Type="http://schemas.openxmlformats.org/officeDocument/2006/relationships/image" Target="../media/image379.png"/><Relationship Id="rId240" Type="http://schemas.openxmlformats.org/officeDocument/2006/relationships/image" Target="../media/image375.png"/><Relationship Id="rId125" Type="http://schemas.openxmlformats.org/officeDocument/2006/relationships/image" Target="../media/image259.png"/><Relationship Id="rId246" Type="http://schemas.openxmlformats.org/officeDocument/2006/relationships/image" Target="../media/image381.png"/><Relationship Id="rId124" Type="http://schemas.openxmlformats.org/officeDocument/2006/relationships/image" Target="../media/image253.png"/><Relationship Id="rId245" Type="http://schemas.openxmlformats.org/officeDocument/2006/relationships/image" Target="../media/image378.png"/><Relationship Id="rId123" Type="http://schemas.openxmlformats.org/officeDocument/2006/relationships/image" Target="../media/image276.png"/><Relationship Id="rId244" Type="http://schemas.openxmlformats.org/officeDocument/2006/relationships/image" Target="../media/image380.png"/><Relationship Id="rId122" Type="http://schemas.openxmlformats.org/officeDocument/2006/relationships/image" Target="../media/image250.png"/><Relationship Id="rId243" Type="http://schemas.openxmlformats.org/officeDocument/2006/relationships/image" Target="../media/image389.png"/><Relationship Id="rId95" Type="http://schemas.openxmlformats.org/officeDocument/2006/relationships/image" Target="../media/image231.png"/><Relationship Id="rId94" Type="http://schemas.openxmlformats.org/officeDocument/2006/relationships/image" Target="../media/image227.png"/><Relationship Id="rId97" Type="http://schemas.openxmlformats.org/officeDocument/2006/relationships/image" Target="../media/image229.png"/><Relationship Id="rId96" Type="http://schemas.openxmlformats.org/officeDocument/2006/relationships/image" Target="../media/image331.png"/><Relationship Id="rId99" Type="http://schemas.openxmlformats.org/officeDocument/2006/relationships/image" Target="../media/image233.png"/><Relationship Id="rId98" Type="http://schemas.openxmlformats.org/officeDocument/2006/relationships/image" Target="../media/image228.png"/><Relationship Id="rId91" Type="http://schemas.openxmlformats.org/officeDocument/2006/relationships/image" Target="../media/image269.png"/><Relationship Id="rId90" Type="http://schemas.openxmlformats.org/officeDocument/2006/relationships/image" Target="../media/image224.png"/><Relationship Id="rId93" Type="http://schemas.openxmlformats.org/officeDocument/2006/relationships/image" Target="../media/image249.png"/><Relationship Id="rId92" Type="http://schemas.openxmlformats.org/officeDocument/2006/relationships/image" Target="../media/image226.png"/><Relationship Id="rId118" Type="http://schemas.openxmlformats.org/officeDocument/2006/relationships/image" Target="../media/image252.png"/><Relationship Id="rId239" Type="http://schemas.openxmlformats.org/officeDocument/2006/relationships/image" Target="../media/image376.png"/><Relationship Id="rId117" Type="http://schemas.openxmlformats.org/officeDocument/2006/relationships/image" Target="../media/image257.png"/><Relationship Id="rId238" Type="http://schemas.openxmlformats.org/officeDocument/2006/relationships/image" Target="../media/image374.png"/><Relationship Id="rId116" Type="http://schemas.openxmlformats.org/officeDocument/2006/relationships/image" Target="../media/image247.png"/><Relationship Id="rId237" Type="http://schemas.openxmlformats.org/officeDocument/2006/relationships/image" Target="../media/image369.png"/><Relationship Id="rId115" Type="http://schemas.openxmlformats.org/officeDocument/2006/relationships/image" Target="../media/image244.png"/><Relationship Id="rId236" Type="http://schemas.openxmlformats.org/officeDocument/2006/relationships/image" Target="../media/image390.png"/><Relationship Id="rId119" Type="http://schemas.openxmlformats.org/officeDocument/2006/relationships/image" Target="../media/image251.png"/><Relationship Id="rId110" Type="http://schemas.openxmlformats.org/officeDocument/2006/relationships/image" Target="../media/image242.png"/><Relationship Id="rId231" Type="http://schemas.openxmlformats.org/officeDocument/2006/relationships/image" Target="../media/image361.png"/><Relationship Id="rId230" Type="http://schemas.openxmlformats.org/officeDocument/2006/relationships/image" Target="../media/image362.png"/><Relationship Id="rId114" Type="http://schemas.openxmlformats.org/officeDocument/2006/relationships/image" Target="../media/image254.png"/><Relationship Id="rId235" Type="http://schemas.openxmlformats.org/officeDocument/2006/relationships/image" Target="../media/image373.png"/><Relationship Id="rId113" Type="http://schemas.openxmlformats.org/officeDocument/2006/relationships/image" Target="../media/image243.png"/><Relationship Id="rId234" Type="http://schemas.openxmlformats.org/officeDocument/2006/relationships/image" Target="../media/image368.png"/><Relationship Id="rId112" Type="http://schemas.openxmlformats.org/officeDocument/2006/relationships/image" Target="../media/image248.png"/><Relationship Id="rId233" Type="http://schemas.openxmlformats.org/officeDocument/2006/relationships/image" Target="../media/image364.png"/><Relationship Id="rId111" Type="http://schemas.openxmlformats.org/officeDocument/2006/relationships/image" Target="../media/image241.png"/><Relationship Id="rId232" Type="http://schemas.openxmlformats.org/officeDocument/2006/relationships/image" Target="../media/image358.png"/><Relationship Id="rId206" Type="http://schemas.openxmlformats.org/officeDocument/2006/relationships/image" Target="../media/image340.png"/><Relationship Id="rId205" Type="http://schemas.openxmlformats.org/officeDocument/2006/relationships/image" Target="../media/image339.png"/><Relationship Id="rId204" Type="http://schemas.openxmlformats.org/officeDocument/2006/relationships/image" Target="../media/image335.png"/><Relationship Id="rId203" Type="http://schemas.openxmlformats.org/officeDocument/2006/relationships/image" Target="../media/image337.png"/><Relationship Id="rId209" Type="http://schemas.openxmlformats.org/officeDocument/2006/relationships/image" Target="../media/image344.png"/><Relationship Id="rId208" Type="http://schemas.openxmlformats.org/officeDocument/2006/relationships/image" Target="../media/image348.png"/><Relationship Id="rId207" Type="http://schemas.openxmlformats.org/officeDocument/2006/relationships/image" Target="../media/image338.png"/><Relationship Id="rId202" Type="http://schemas.openxmlformats.org/officeDocument/2006/relationships/image" Target="../media/image336.png"/><Relationship Id="rId201" Type="http://schemas.openxmlformats.org/officeDocument/2006/relationships/image" Target="../media/image334.png"/><Relationship Id="rId200" Type="http://schemas.openxmlformats.org/officeDocument/2006/relationships/image" Target="../media/image333.png"/></Relationships>
</file>

<file path=xl/drawings/drawing1.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2.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3.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4.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1</xdr:row>
      <xdr:rowOff>0</xdr:rowOff>
    </xdr:from>
    <xdr:ext cx="314325" cy="314325"/>
    <xdr:pic>
      <xdr:nvPicPr>
        <xdr:cNvPr id="0" name="image4.png"/>
        <xdr:cNvPicPr preferRelativeResize="0"/>
      </xdr:nvPicPr>
      <xdr:blipFill>
        <a:blip cstate="print" r:embed="rId1"/>
        <a:stretch>
          <a:fillRect/>
        </a:stretch>
      </xdr:blipFill>
      <xdr:spPr>
        <a:prstGeom prst="rect">
          <a:avLst/>
        </a:prstGeom>
        <a:noFill/>
      </xdr:spPr>
    </xdr:pic>
    <xdr:clientData fLocksWithSheet="0"/>
  </xdr:oneCellAnchor>
  <xdr:oneCellAnchor>
    <xdr:from>
      <xdr:col>0</xdr:col>
      <xdr:colOff>0</xdr:colOff>
      <xdr:row>2</xdr:row>
      <xdr:rowOff>0</xdr:rowOff>
    </xdr:from>
    <xdr:ext cx="314325" cy="314325"/>
    <xdr:pic>
      <xdr:nvPicPr>
        <xdr:cNvPr id="0" name="image2.png"/>
        <xdr:cNvPicPr preferRelativeResize="0"/>
      </xdr:nvPicPr>
      <xdr:blipFill>
        <a:blip cstate="print" r:embed="rId2"/>
        <a:stretch>
          <a:fillRect/>
        </a:stretch>
      </xdr:blipFill>
      <xdr:spPr>
        <a:prstGeom prst="rect">
          <a:avLst/>
        </a:prstGeom>
        <a:noFill/>
      </xdr:spPr>
    </xdr:pic>
    <xdr:clientData fLocksWithSheet="0"/>
  </xdr:oneCellAnchor>
  <xdr:oneCellAnchor>
    <xdr:from>
      <xdr:col>0</xdr:col>
      <xdr:colOff>0</xdr:colOff>
      <xdr:row>3</xdr:row>
      <xdr:rowOff>0</xdr:rowOff>
    </xdr:from>
    <xdr:ext cx="314325" cy="314325"/>
    <xdr:pic>
      <xdr:nvPicPr>
        <xdr:cNvPr id="0" name="image11.png"/>
        <xdr:cNvPicPr preferRelativeResize="0"/>
      </xdr:nvPicPr>
      <xdr:blipFill>
        <a:blip cstate="print" r:embed="rId3"/>
        <a:stretch>
          <a:fillRect/>
        </a:stretch>
      </xdr:blipFill>
      <xdr:spPr>
        <a:prstGeom prst="rect">
          <a:avLst/>
        </a:prstGeom>
        <a:noFill/>
      </xdr:spPr>
    </xdr:pic>
    <xdr:clientData fLocksWithSheet="0"/>
  </xdr:oneCellAnchor>
  <xdr:oneCellAnchor>
    <xdr:from>
      <xdr:col>0</xdr:col>
      <xdr:colOff>0</xdr:colOff>
      <xdr:row>4</xdr:row>
      <xdr:rowOff>0</xdr:rowOff>
    </xdr:from>
    <xdr:ext cx="314325" cy="314325"/>
    <xdr:pic>
      <xdr:nvPicPr>
        <xdr:cNvPr id="0" name="image52.png"/>
        <xdr:cNvPicPr preferRelativeResize="0"/>
      </xdr:nvPicPr>
      <xdr:blipFill>
        <a:blip cstate="print" r:embed="rId4"/>
        <a:stretch>
          <a:fillRect/>
        </a:stretch>
      </xdr:blipFill>
      <xdr:spPr>
        <a:prstGeom prst="rect">
          <a:avLst/>
        </a:prstGeom>
        <a:noFill/>
      </xdr:spPr>
    </xdr:pic>
    <xdr:clientData fLocksWithSheet="0"/>
  </xdr:oneCellAnchor>
  <xdr:oneCellAnchor>
    <xdr:from>
      <xdr:col>0</xdr:col>
      <xdr:colOff>0</xdr:colOff>
      <xdr:row>5</xdr:row>
      <xdr:rowOff>0</xdr:rowOff>
    </xdr:from>
    <xdr:ext cx="314325" cy="314325"/>
    <xdr:pic>
      <xdr:nvPicPr>
        <xdr:cNvPr id="0" name="image10.png"/>
        <xdr:cNvPicPr preferRelativeResize="0"/>
      </xdr:nvPicPr>
      <xdr:blipFill>
        <a:blip cstate="print" r:embed="rId5"/>
        <a:stretch>
          <a:fillRect/>
        </a:stretch>
      </xdr:blipFill>
      <xdr:spPr>
        <a:prstGeom prst="rect">
          <a:avLst/>
        </a:prstGeom>
        <a:noFill/>
      </xdr:spPr>
    </xdr:pic>
    <xdr:clientData fLocksWithSheet="0"/>
  </xdr:oneCellAnchor>
  <xdr:oneCellAnchor>
    <xdr:from>
      <xdr:col>0</xdr:col>
      <xdr:colOff>0</xdr:colOff>
      <xdr:row>6</xdr:row>
      <xdr:rowOff>0</xdr:rowOff>
    </xdr:from>
    <xdr:ext cx="314325" cy="314325"/>
    <xdr:pic>
      <xdr:nvPicPr>
        <xdr:cNvPr id="0" name="image8.png"/>
        <xdr:cNvPicPr preferRelativeResize="0"/>
      </xdr:nvPicPr>
      <xdr:blipFill>
        <a:blip cstate="print" r:embed="rId6"/>
        <a:stretch>
          <a:fillRect/>
        </a:stretch>
      </xdr:blipFill>
      <xdr:spPr>
        <a:prstGeom prst="rect">
          <a:avLst/>
        </a:prstGeom>
        <a:noFill/>
      </xdr:spPr>
    </xdr:pic>
    <xdr:clientData fLocksWithSheet="0"/>
  </xdr:oneCellAnchor>
  <xdr:oneCellAnchor>
    <xdr:from>
      <xdr:col>0</xdr:col>
      <xdr:colOff>0</xdr:colOff>
      <xdr:row>7</xdr:row>
      <xdr:rowOff>0</xdr:rowOff>
    </xdr:from>
    <xdr:ext cx="314325" cy="314325"/>
    <xdr:pic>
      <xdr:nvPicPr>
        <xdr:cNvPr id="0" name="image15.png"/>
        <xdr:cNvPicPr preferRelativeResize="0"/>
      </xdr:nvPicPr>
      <xdr:blipFill>
        <a:blip cstate="print" r:embed="rId7"/>
        <a:stretch>
          <a:fillRect/>
        </a:stretch>
      </xdr:blipFill>
      <xdr:spPr>
        <a:prstGeom prst="rect">
          <a:avLst/>
        </a:prstGeom>
        <a:noFill/>
      </xdr:spPr>
    </xdr:pic>
    <xdr:clientData fLocksWithSheet="0"/>
  </xdr:oneCellAnchor>
  <xdr:oneCellAnchor>
    <xdr:from>
      <xdr:col>0</xdr:col>
      <xdr:colOff>0</xdr:colOff>
      <xdr:row>8</xdr:row>
      <xdr:rowOff>0</xdr:rowOff>
    </xdr:from>
    <xdr:ext cx="314325" cy="314325"/>
    <xdr:pic>
      <xdr:nvPicPr>
        <xdr:cNvPr id="0" name="image21.png"/>
        <xdr:cNvPicPr preferRelativeResize="0"/>
      </xdr:nvPicPr>
      <xdr:blipFill>
        <a:blip cstate="print" r:embed="rId8"/>
        <a:stretch>
          <a:fillRect/>
        </a:stretch>
      </xdr:blipFill>
      <xdr:spPr>
        <a:prstGeom prst="rect">
          <a:avLst/>
        </a:prstGeom>
        <a:noFill/>
      </xdr:spPr>
    </xdr:pic>
    <xdr:clientData fLocksWithSheet="0"/>
  </xdr:oneCellAnchor>
  <xdr:oneCellAnchor>
    <xdr:from>
      <xdr:col>0</xdr:col>
      <xdr:colOff>0</xdr:colOff>
      <xdr:row>9</xdr:row>
      <xdr:rowOff>0</xdr:rowOff>
    </xdr:from>
    <xdr:ext cx="314325" cy="314325"/>
    <xdr:pic>
      <xdr:nvPicPr>
        <xdr:cNvPr id="0" name="image30.png"/>
        <xdr:cNvPicPr preferRelativeResize="0"/>
      </xdr:nvPicPr>
      <xdr:blipFill>
        <a:blip cstate="print" r:embed="rId9"/>
        <a:stretch>
          <a:fillRect/>
        </a:stretch>
      </xdr:blipFill>
      <xdr:spPr>
        <a:prstGeom prst="rect">
          <a:avLst/>
        </a:prstGeom>
        <a:noFill/>
      </xdr:spPr>
    </xdr:pic>
    <xdr:clientData fLocksWithSheet="0"/>
  </xdr:oneCellAnchor>
  <xdr:oneCellAnchor>
    <xdr:from>
      <xdr:col>0</xdr:col>
      <xdr:colOff>0</xdr:colOff>
      <xdr:row>10</xdr:row>
      <xdr:rowOff>0</xdr:rowOff>
    </xdr:from>
    <xdr:ext cx="314325" cy="314325"/>
    <xdr:pic>
      <xdr:nvPicPr>
        <xdr:cNvPr id="0" name="image19.png"/>
        <xdr:cNvPicPr preferRelativeResize="0"/>
      </xdr:nvPicPr>
      <xdr:blipFill>
        <a:blip cstate="print" r:embed="rId10"/>
        <a:stretch>
          <a:fillRect/>
        </a:stretch>
      </xdr:blipFill>
      <xdr:spPr>
        <a:prstGeom prst="rect">
          <a:avLst/>
        </a:prstGeom>
        <a:noFill/>
      </xdr:spPr>
    </xdr:pic>
    <xdr:clientData fLocksWithSheet="0"/>
  </xdr:oneCellAnchor>
  <xdr:oneCellAnchor>
    <xdr:from>
      <xdr:col>0</xdr:col>
      <xdr:colOff>0</xdr:colOff>
      <xdr:row>11</xdr:row>
      <xdr:rowOff>0</xdr:rowOff>
    </xdr:from>
    <xdr:ext cx="314325" cy="314325"/>
    <xdr:pic>
      <xdr:nvPicPr>
        <xdr:cNvPr id="0" name="image12.png"/>
        <xdr:cNvPicPr preferRelativeResize="0"/>
      </xdr:nvPicPr>
      <xdr:blipFill>
        <a:blip cstate="print" r:embed="rId11"/>
        <a:stretch>
          <a:fillRect/>
        </a:stretch>
      </xdr:blipFill>
      <xdr:spPr>
        <a:prstGeom prst="rect">
          <a:avLst/>
        </a:prstGeom>
        <a:noFill/>
      </xdr:spPr>
    </xdr:pic>
    <xdr:clientData fLocksWithSheet="0"/>
  </xdr:oneCellAnchor>
  <xdr:oneCellAnchor>
    <xdr:from>
      <xdr:col>0</xdr:col>
      <xdr:colOff>0</xdr:colOff>
      <xdr:row>12</xdr:row>
      <xdr:rowOff>0</xdr:rowOff>
    </xdr:from>
    <xdr:ext cx="314325" cy="314325"/>
    <xdr:pic>
      <xdr:nvPicPr>
        <xdr:cNvPr id="0" name="image16.png"/>
        <xdr:cNvPicPr preferRelativeResize="0"/>
      </xdr:nvPicPr>
      <xdr:blipFill>
        <a:blip cstate="print" r:embed="rId12"/>
        <a:stretch>
          <a:fillRect/>
        </a:stretch>
      </xdr:blipFill>
      <xdr:spPr>
        <a:prstGeom prst="rect">
          <a:avLst/>
        </a:prstGeom>
        <a:noFill/>
      </xdr:spPr>
    </xdr:pic>
    <xdr:clientData fLocksWithSheet="0"/>
  </xdr:oneCellAnchor>
  <xdr:oneCellAnchor>
    <xdr:from>
      <xdr:col>0</xdr:col>
      <xdr:colOff>0</xdr:colOff>
      <xdr:row>13</xdr:row>
      <xdr:rowOff>0</xdr:rowOff>
    </xdr:from>
    <xdr:ext cx="314325" cy="314325"/>
    <xdr:pic>
      <xdr:nvPicPr>
        <xdr:cNvPr id="0" name="image9.png"/>
        <xdr:cNvPicPr preferRelativeResize="0"/>
      </xdr:nvPicPr>
      <xdr:blipFill>
        <a:blip cstate="print" r:embed="rId13"/>
        <a:stretch>
          <a:fillRect/>
        </a:stretch>
      </xdr:blipFill>
      <xdr:spPr>
        <a:prstGeom prst="rect">
          <a:avLst/>
        </a:prstGeom>
        <a:noFill/>
      </xdr:spPr>
    </xdr:pic>
    <xdr:clientData fLocksWithSheet="0"/>
  </xdr:oneCellAnchor>
  <xdr:oneCellAnchor>
    <xdr:from>
      <xdr:col>0</xdr:col>
      <xdr:colOff>0</xdr:colOff>
      <xdr:row>14</xdr:row>
      <xdr:rowOff>0</xdr:rowOff>
    </xdr:from>
    <xdr:ext cx="314325" cy="314325"/>
    <xdr:pic>
      <xdr:nvPicPr>
        <xdr:cNvPr id="0" name="image14.png"/>
        <xdr:cNvPicPr preferRelativeResize="0"/>
      </xdr:nvPicPr>
      <xdr:blipFill>
        <a:blip cstate="print" r:embed="rId14"/>
        <a:stretch>
          <a:fillRect/>
        </a:stretch>
      </xdr:blipFill>
      <xdr:spPr>
        <a:prstGeom prst="rect">
          <a:avLst/>
        </a:prstGeom>
        <a:noFill/>
      </xdr:spPr>
    </xdr:pic>
    <xdr:clientData fLocksWithSheet="0"/>
  </xdr:oneCellAnchor>
  <xdr:oneCellAnchor>
    <xdr:from>
      <xdr:col>0</xdr:col>
      <xdr:colOff>0</xdr:colOff>
      <xdr:row>15</xdr:row>
      <xdr:rowOff>0</xdr:rowOff>
    </xdr:from>
    <xdr:ext cx="314325" cy="314325"/>
    <xdr:pic>
      <xdr:nvPicPr>
        <xdr:cNvPr id="0" name="image5.png"/>
        <xdr:cNvPicPr preferRelativeResize="0"/>
      </xdr:nvPicPr>
      <xdr:blipFill>
        <a:blip cstate="print" r:embed="rId15"/>
        <a:stretch>
          <a:fillRect/>
        </a:stretch>
      </xdr:blipFill>
      <xdr:spPr>
        <a:prstGeom prst="rect">
          <a:avLst/>
        </a:prstGeom>
        <a:noFill/>
      </xdr:spPr>
    </xdr:pic>
    <xdr:clientData fLocksWithSheet="0"/>
  </xdr:oneCellAnchor>
  <xdr:oneCellAnchor>
    <xdr:from>
      <xdr:col>0</xdr:col>
      <xdr:colOff>0</xdr:colOff>
      <xdr:row>16</xdr:row>
      <xdr:rowOff>0</xdr:rowOff>
    </xdr:from>
    <xdr:ext cx="314325" cy="314325"/>
    <xdr:pic>
      <xdr:nvPicPr>
        <xdr:cNvPr id="0" name="image13.png"/>
        <xdr:cNvPicPr preferRelativeResize="0"/>
      </xdr:nvPicPr>
      <xdr:blipFill>
        <a:blip cstate="print" r:embed="rId16"/>
        <a:stretch>
          <a:fillRect/>
        </a:stretch>
      </xdr:blipFill>
      <xdr:spPr>
        <a:prstGeom prst="rect">
          <a:avLst/>
        </a:prstGeom>
        <a:noFill/>
      </xdr:spPr>
    </xdr:pic>
    <xdr:clientData fLocksWithSheet="0"/>
  </xdr:oneCellAnchor>
  <xdr:oneCellAnchor>
    <xdr:from>
      <xdr:col>0</xdr:col>
      <xdr:colOff>0</xdr:colOff>
      <xdr:row>17</xdr:row>
      <xdr:rowOff>0</xdr:rowOff>
    </xdr:from>
    <xdr:ext cx="314325" cy="314325"/>
    <xdr:pic>
      <xdr:nvPicPr>
        <xdr:cNvPr id="0" name="image17.png"/>
        <xdr:cNvPicPr preferRelativeResize="0"/>
      </xdr:nvPicPr>
      <xdr:blipFill>
        <a:blip cstate="print" r:embed="rId17"/>
        <a:stretch>
          <a:fillRect/>
        </a:stretch>
      </xdr:blipFill>
      <xdr:spPr>
        <a:prstGeom prst="rect">
          <a:avLst/>
        </a:prstGeom>
        <a:noFill/>
      </xdr:spPr>
    </xdr:pic>
    <xdr:clientData fLocksWithSheet="0"/>
  </xdr:oneCellAnchor>
  <xdr:oneCellAnchor>
    <xdr:from>
      <xdr:col>0</xdr:col>
      <xdr:colOff>0</xdr:colOff>
      <xdr:row>18</xdr:row>
      <xdr:rowOff>0</xdr:rowOff>
    </xdr:from>
    <xdr:ext cx="314325" cy="314325"/>
    <xdr:pic>
      <xdr:nvPicPr>
        <xdr:cNvPr id="0" name="image79.png"/>
        <xdr:cNvPicPr preferRelativeResize="0"/>
      </xdr:nvPicPr>
      <xdr:blipFill>
        <a:blip cstate="print" r:embed="rId18"/>
        <a:stretch>
          <a:fillRect/>
        </a:stretch>
      </xdr:blipFill>
      <xdr:spPr>
        <a:prstGeom prst="rect">
          <a:avLst/>
        </a:prstGeom>
        <a:noFill/>
      </xdr:spPr>
    </xdr:pic>
    <xdr:clientData fLocksWithSheet="0"/>
  </xdr:oneCellAnchor>
  <xdr:oneCellAnchor>
    <xdr:from>
      <xdr:col>0</xdr:col>
      <xdr:colOff>0</xdr:colOff>
      <xdr:row>19</xdr:row>
      <xdr:rowOff>0</xdr:rowOff>
    </xdr:from>
    <xdr:ext cx="314325" cy="314325"/>
    <xdr:pic>
      <xdr:nvPicPr>
        <xdr:cNvPr id="0" name="image3.png"/>
        <xdr:cNvPicPr preferRelativeResize="0"/>
      </xdr:nvPicPr>
      <xdr:blipFill>
        <a:blip cstate="print" r:embed="rId19"/>
        <a:stretch>
          <a:fillRect/>
        </a:stretch>
      </xdr:blipFill>
      <xdr:spPr>
        <a:prstGeom prst="rect">
          <a:avLst/>
        </a:prstGeom>
        <a:noFill/>
      </xdr:spPr>
    </xdr:pic>
    <xdr:clientData fLocksWithSheet="0"/>
  </xdr:oneCellAnchor>
  <xdr:oneCellAnchor>
    <xdr:from>
      <xdr:col>0</xdr:col>
      <xdr:colOff>0</xdr:colOff>
      <xdr:row>20</xdr:row>
      <xdr:rowOff>0</xdr:rowOff>
    </xdr:from>
    <xdr:ext cx="314325" cy="314325"/>
    <xdr:pic>
      <xdr:nvPicPr>
        <xdr:cNvPr id="0" name="image109.png"/>
        <xdr:cNvPicPr preferRelativeResize="0"/>
      </xdr:nvPicPr>
      <xdr:blipFill>
        <a:blip cstate="print" r:embed="rId20"/>
        <a:stretch>
          <a:fillRect/>
        </a:stretch>
      </xdr:blipFill>
      <xdr:spPr>
        <a:prstGeom prst="rect">
          <a:avLst/>
        </a:prstGeom>
        <a:noFill/>
      </xdr:spPr>
    </xdr:pic>
    <xdr:clientData fLocksWithSheet="0"/>
  </xdr:oneCellAnchor>
  <xdr:oneCellAnchor>
    <xdr:from>
      <xdr:col>0</xdr:col>
      <xdr:colOff>0</xdr:colOff>
      <xdr:row>21</xdr:row>
      <xdr:rowOff>0</xdr:rowOff>
    </xdr:from>
    <xdr:ext cx="314325" cy="314325"/>
    <xdr:pic>
      <xdr:nvPicPr>
        <xdr:cNvPr id="0" name="image18.png"/>
        <xdr:cNvPicPr preferRelativeResize="0"/>
      </xdr:nvPicPr>
      <xdr:blipFill>
        <a:blip cstate="print" r:embed="rId21"/>
        <a:stretch>
          <a:fillRect/>
        </a:stretch>
      </xdr:blipFill>
      <xdr:spPr>
        <a:prstGeom prst="rect">
          <a:avLst/>
        </a:prstGeom>
        <a:noFill/>
      </xdr:spPr>
    </xdr:pic>
    <xdr:clientData fLocksWithSheet="0"/>
  </xdr:oneCellAnchor>
  <xdr:oneCellAnchor>
    <xdr:from>
      <xdr:col>0</xdr:col>
      <xdr:colOff>0</xdr:colOff>
      <xdr:row>22</xdr:row>
      <xdr:rowOff>0</xdr:rowOff>
    </xdr:from>
    <xdr:ext cx="314325" cy="314325"/>
    <xdr:pic>
      <xdr:nvPicPr>
        <xdr:cNvPr id="0" name="image1.png"/>
        <xdr:cNvPicPr preferRelativeResize="0"/>
      </xdr:nvPicPr>
      <xdr:blipFill>
        <a:blip cstate="print" r:embed="rId22"/>
        <a:stretch>
          <a:fillRect/>
        </a:stretch>
      </xdr:blipFill>
      <xdr:spPr>
        <a:prstGeom prst="rect">
          <a:avLst/>
        </a:prstGeom>
        <a:noFill/>
      </xdr:spPr>
    </xdr:pic>
    <xdr:clientData fLocksWithSheet="0"/>
  </xdr:oneCellAnchor>
  <xdr:oneCellAnchor>
    <xdr:from>
      <xdr:col>0</xdr:col>
      <xdr:colOff>0</xdr:colOff>
      <xdr:row>23</xdr:row>
      <xdr:rowOff>0</xdr:rowOff>
    </xdr:from>
    <xdr:ext cx="314325" cy="314325"/>
    <xdr:pic>
      <xdr:nvPicPr>
        <xdr:cNvPr id="0" name="image81.png"/>
        <xdr:cNvPicPr preferRelativeResize="0"/>
      </xdr:nvPicPr>
      <xdr:blipFill>
        <a:blip cstate="print" r:embed="rId23"/>
        <a:stretch>
          <a:fillRect/>
        </a:stretch>
      </xdr:blipFill>
      <xdr:spPr>
        <a:prstGeom prst="rect">
          <a:avLst/>
        </a:prstGeom>
        <a:noFill/>
      </xdr:spPr>
    </xdr:pic>
    <xdr:clientData fLocksWithSheet="0"/>
  </xdr:oneCellAnchor>
  <xdr:oneCellAnchor>
    <xdr:from>
      <xdr:col>0</xdr:col>
      <xdr:colOff>0</xdr:colOff>
      <xdr:row>24</xdr:row>
      <xdr:rowOff>0</xdr:rowOff>
    </xdr:from>
    <xdr:ext cx="314325" cy="314325"/>
    <xdr:pic>
      <xdr:nvPicPr>
        <xdr:cNvPr id="0" name="image6.png"/>
        <xdr:cNvPicPr preferRelativeResize="0"/>
      </xdr:nvPicPr>
      <xdr:blipFill>
        <a:blip cstate="print" r:embed="rId24"/>
        <a:stretch>
          <a:fillRect/>
        </a:stretch>
      </xdr:blipFill>
      <xdr:spPr>
        <a:prstGeom prst="rect">
          <a:avLst/>
        </a:prstGeom>
        <a:noFill/>
      </xdr:spPr>
    </xdr:pic>
    <xdr:clientData fLocksWithSheet="0"/>
  </xdr:oneCellAnchor>
  <xdr:oneCellAnchor>
    <xdr:from>
      <xdr:col>0</xdr:col>
      <xdr:colOff>0</xdr:colOff>
      <xdr:row>25</xdr:row>
      <xdr:rowOff>0</xdr:rowOff>
    </xdr:from>
    <xdr:ext cx="314325" cy="314325"/>
    <xdr:pic>
      <xdr:nvPicPr>
        <xdr:cNvPr id="0" name="image7.png"/>
        <xdr:cNvPicPr preferRelativeResize="0"/>
      </xdr:nvPicPr>
      <xdr:blipFill>
        <a:blip cstate="print" r:embed="rId25"/>
        <a:stretch>
          <a:fillRect/>
        </a:stretch>
      </xdr:blipFill>
      <xdr:spPr>
        <a:prstGeom prst="rect">
          <a:avLst/>
        </a:prstGeom>
        <a:noFill/>
      </xdr:spPr>
    </xdr:pic>
    <xdr:clientData fLocksWithSheet="0"/>
  </xdr:oneCellAnchor>
  <xdr:oneCellAnchor>
    <xdr:from>
      <xdr:col>0</xdr:col>
      <xdr:colOff>0</xdr:colOff>
      <xdr:row>26</xdr:row>
      <xdr:rowOff>0</xdr:rowOff>
    </xdr:from>
    <xdr:ext cx="314325" cy="314325"/>
    <xdr:pic>
      <xdr:nvPicPr>
        <xdr:cNvPr id="0" name="image20.png"/>
        <xdr:cNvPicPr preferRelativeResize="0"/>
      </xdr:nvPicPr>
      <xdr:blipFill>
        <a:blip cstate="print" r:embed="rId26"/>
        <a:stretch>
          <a:fillRect/>
        </a:stretch>
      </xdr:blipFill>
      <xdr:spPr>
        <a:prstGeom prst="rect">
          <a:avLst/>
        </a:prstGeom>
        <a:noFill/>
      </xdr:spPr>
    </xdr:pic>
    <xdr:clientData fLocksWithSheet="0"/>
  </xdr:oneCellAnchor>
  <xdr:oneCellAnchor>
    <xdr:from>
      <xdr:col>0</xdr:col>
      <xdr:colOff>0</xdr:colOff>
      <xdr:row>27</xdr:row>
      <xdr:rowOff>0</xdr:rowOff>
    </xdr:from>
    <xdr:ext cx="314325" cy="314325"/>
    <xdr:pic>
      <xdr:nvPicPr>
        <xdr:cNvPr id="0" name="image22.png"/>
        <xdr:cNvPicPr preferRelativeResize="0"/>
      </xdr:nvPicPr>
      <xdr:blipFill>
        <a:blip cstate="print" r:embed="rId27"/>
        <a:stretch>
          <a:fillRect/>
        </a:stretch>
      </xdr:blipFill>
      <xdr:spPr>
        <a:prstGeom prst="rect">
          <a:avLst/>
        </a:prstGeom>
        <a:noFill/>
      </xdr:spPr>
    </xdr:pic>
    <xdr:clientData fLocksWithSheet="0"/>
  </xdr:oneCellAnchor>
  <xdr:oneCellAnchor>
    <xdr:from>
      <xdr:col>0</xdr:col>
      <xdr:colOff>0</xdr:colOff>
      <xdr:row>28</xdr:row>
      <xdr:rowOff>0</xdr:rowOff>
    </xdr:from>
    <xdr:ext cx="314325" cy="314325"/>
    <xdr:pic>
      <xdr:nvPicPr>
        <xdr:cNvPr id="0" name="image41.png"/>
        <xdr:cNvPicPr preferRelativeResize="0"/>
      </xdr:nvPicPr>
      <xdr:blipFill>
        <a:blip cstate="print" r:embed="rId28"/>
        <a:stretch>
          <a:fillRect/>
        </a:stretch>
      </xdr:blipFill>
      <xdr:spPr>
        <a:prstGeom prst="rect">
          <a:avLst/>
        </a:prstGeom>
        <a:noFill/>
      </xdr:spPr>
    </xdr:pic>
    <xdr:clientData fLocksWithSheet="0"/>
  </xdr:oneCellAnchor>
  <xdr:oneCellAnchor>
    <xdr:from>
      <xdr:col>0</xdr:col>
      <xdr:colOff>0</xdr:colOff>
      <xdr:row>29</xdr:row>
      <xdr:rowOff>0</xdr:rowOff>
    </xdr:from>
    <xdr:ext cx="314325" cy="314325"/>
    <xdr:pic>
      <xdr:nvPicPr>
        <xdr:cNvPr id="0" name="image37.png"/>
        <xdr:cNvPicPr preferRelativeResize="0"/>
      </xdr:nvPicPr>
      <xdr:blipFill>
        <a:blip cstate="print" r:embed="rId29"/>
        <a:stretch>
          <a:fillRect/>
        </a:stretch>
      </xdr:blipFill>
      <xdr:spPr>
        <a:prstGeom prst="rect">
          <a:avLst/>
        </a:prstGeom>
        <a:noFill/>
      </xdr:spPr>
    </xdr:pic>
    <xdr:clientData fLocksWithSheet="0"/>
  </xdr:oneCellAnchor>
  <xdr:oneCellAnchor>
    <xdr:from>
      <xdr:col>0</xdr:col>
      <xdr:colOff>0</xdr:colOff>
      <xdr:row>30</xdr:row>
      <xdr:rowOff>0</xdr:rowOff>
    </xdr:from>
    <xdr:ext cx="314325" cy="314325"/>
    <xdr:pic>
      <xdr:nvPicPr>
        <xdr:cNvPr id="0" name="image26.png"/>
        <xdr:cNvPicPr preferRelativeResize="0"/>
      </xdr:nvPicPr>
      <xdr:blipFill>
        <a:blip cstate="print" r:embed="rId30"/>
        <a:stretch>
          <a:fillRect/>
        </a:stretch>
      </xdr:blipFill>
      <xdr:spPr>
        <a:prstGeom prst="rect">
          <a:avLst/>
        </a:prstGeom>
        <a:noFill/>
      </xdr:spPr>
    </xdr:pic>
    <xdr:clientData fLocksWithSheet="0"/>
  </xdr:oneCellAnchor>
  <xdr:oneCellAnchor>
    <xdr:from>
      <xdr:col>0</xdr:col>
      <xdr:colOff>0</xdr:colOff>
      <xdr:row>31</xdr:row>
      <xdr:rowOff>0</xdr:rowOff>
    </xdr:from>
    <xdr:ext cx="314325" cy="314325"/>
    <xdr:pic>
      <xdr:nvPicPr>
        <xdr:cNvPr id="0" name="image23.png"/>
        <xdr:cNvPicPr preferRelativeResize="0"/>
      </xdr:nvPicPr>
      <xdr:blipFill>
        <a:blip cstate="print" r:embed="rId31"/>
        <a:stretch>
          <a:fillRect/>
        </a:stretch>
      </xdr:blipFill>
      <xdr:spPr>
        <a:prstGeom prst="rect">
          <a:avLst/>
        </a:prstGeom>
        <a:noFill/>
      </xdr:spPr>
    </xdr:pic>
    <xdr:clientData fLocksWithSheet="0"/>
  </xdr:oneCellAnchor>
  <xdr:oneCellAnchor>
    <xdr:from>
      <xdr:col>0</xdr:col>
      <xdr:colOff>0</xdr:colOff>
      <xdr:row>32</xdr:row>
      <xdr:rowOff>0</xdr:rowOff>
    </xdr:from>
    <xdr:ext cx="314325" cy="314325"/>
    <xdr:pic>
      <xdr:nvPicPr>
        <xdr:cNvPr id="0" name="image24.png"/>
        <xdr:cNvPicPr preferRelativeResize="0"/>
      </xdr:nvPicPr>
      <xdr:blipFill>
        <a:blip cstate="print" r:embed="rId32"/>
        <a:stretch>
          <a:fillRect/>
        </a:stretch>
      </xdr:blipFill>
      <xdr:spPr>
        <a:prstGeom prst="rect">
          <a:avLst/>
        </a:prstGeom>
        <a:noFill/>
      </xdr:spPr>
    </xdr:pic>
    <xdr:clientData fLocksWithSheet="0"/>
  </xdr:oneCellAnchor>
  <xdr:oneCellAnchor>
    <xdr:from>
      <xdr:col>0</xdr:col>
      <xdr:colOff>0</xdr:colOff>
      <xdr:row>33</xdr:row>
      <xdr:rowOff>0</xdr:rowOff>
    </xdr:from>
    <xdr:ext cx="314325" cy="314325"/>
    <xdr:pic>
      <xdr:nvPicPr>
        <xdr:cNvPr id="0" name="image67.png"/>
        <xdr:cNvPicPr preferRelativeResize="0"/>
      </xdr:nvPicPr>
      <xdr:blipFill>
        <a:blip cstate="print" r:embed="rId33"/>
        <a:stretch>
          <a:fillRect/>
        </a:stretch>
      </xdr:blipFill>
      <xdr:spPr>
        <a:prstGeom prst="rect">
          <a:avLst/>
        </a:prstGeom>
        <a:noFill/>
      </xdr:spPr>
    </xdr:pic>
    <xdr:clientData fLocksWithSheet="0"/>
  </xdr:oneCellAnchor>
  <xdr:oneCellAnchor>
    <xdr:from>
      <xdr:col>0</xdr:col>
      <xdr:colOff>0</xdr:colOff>
      <xdr:row>34</xdr:row>
      <xdr:rowOff>0</xdr:rowOff>
    </xdr:from>
    <xdr:ext cx="314325" cy="314325"/>
    <xdr:pic>
      <xdr:nvPicPr>
        <xdr:cNvPr id="0" name="image38.png"/>
        <xdr:cNvPicPr preferRelativeResize="0"/>
      </xdr:nvPicPr>
      <xdr:blipFill>
        <a:blip cstate="print" r:embed="rId34"/>
        <a:stretch>
          <a:fillRect/>
        </a:stretch>
      </xdr:blipFill>
      <xdr:spPr>
        <a:prstGeom prst="rect">
          <a:avLst/>
        </a:prstGeom>
        <a:noFill/>
      </xdr:spPr>
    </xdr:pic>
    <xdr:clientData fLocksWithSheet="0"/>
  </xdr:oneCellAnchor>
  <xdr:oneCellAnchor>
    <xdr:from>
      <xdr:col>0</xdr:col>
      <xdr:colOff>0</xdr:colOff>
      <xdr:row>35</xdr:row>
      <xdr:rowOff>0</xdr:rowOff>
    </xdr:from>
    <xdr:ext cx="314325" cy="314325"/>
    <xdr:pic>
      <xdr:nvPicPr>
        <xdr:cNvPr id="0" name="image25.png"/>
        <xdr:cNvPicPr preferRelativeResize="0"/>
      </xdr:nvPicPr>
      <xdr:blipFill>
        <a:blip cstate="print" r:embed="rId35"/>
        <a:stretch>
          <a:fillRect/>
        </a:stretch>
      </xdr:blipFill>
      <xdr:spPr>
        <a:prstGeom prst="rect">
          <a:avLst/>
        </a:prstGeom>
        <a:noFill/>
      </xdr:spPr>
    </xdr:pic>
    <xdr:clientData fLocksWithSheet="0"/>
  </xdr:oneCellAnchor>
  <xdr:oneCellAnchor>
    <xdr:from>
      <xdr:col>0</xdr:col>
      <xdr:colOff>0</xdr:colOff>
      <xdr:row>36</xdr:row>
      <xdr:rowOff>0</xdr:rowOff>
    </xdr:from>
    <xdr:ext cx="314325" cy="314325"/>
    <xdr:pic>
      <xdr:nvPicPr>
        <xdr:cNvPr id="0" name="image45.png"/>
        <xdr:cNvPicPr preferRelativeResize="0"/>
      </xdr:nvPicPr>
      <xdr:blipFill>
        <a:blip cstate="print" r:embed="rId36"/>
        <a:stretch>
          <a:fillRect/>
        </a:stretch>
      </xdr:blipFill>
      <xdr:spPr>
        <a:prstGeom prst="rect">
          <a:avLst/>
        </a:prstGeom>
        <a:noFill/>
      </xdr:spPr>
    </xdr:pic>
    <xdr:clientData fLocksWithSheet="0"/>
  </xdr:oneCellAnchor>
  <xdr:oneCellAnchor>
    <xdr:from>
      <xdr:col>0</xdr:col>
      <xdr:colOff>0</xdr:colOff>
      <xdr:row>37</xdr:row>
      <xdr:rowOff>0</xdr:rowOff>
    </xdr:from>
    <xdr:ext cx="314325" cy="314325"/>
    <xdr:pic>
      <xdr:nvPicPr>
        <xdr:cNvPr id="0" name="image54.png"/>
        <xdr:cNvPicPr preferRelativeResize="0"/>
      </xdr:nvPicPr>
      <xdr:blipFill>
        <a:blip cstate="print" r:embed="rId37"/>
        <a:stretch>
          <a:fillRect/>
        </a:stretch>
      </xdr:blipFill>
      <xdr:spPr>
        <a:prstGeom prst="rect">
          <a:avLst/>
        </a:prstGeom>
        <a:noFill/>
      </xdr:spPr>
    </xdr:pic>
    <xdr:clientData fLocksWithSheet="0"/>
  </xdr:oneCellAnchor>
  <xdr:oneCellAnchor>
    <xdr:from>
      <xdr:col>0</xdr:col>
      <xdr:colOff>0</xdr:colOff>
      <xdr:row>38</xdr:row>
      <xdr:rowOff>0</xdr:rowOff>
    </xdr:from>
    <xdr:ext cx="314325" cy="314325"/>
    <xdr:pic>
      <xdr:nvPicPr>
        <xdr:cNvPr id="0" name="image28.png"/>
        <xdr:cNvPicPr preferRelativeResize="0"/>
      </xdr:nvPicPr>
      <xdr:blipFill>
        <a:blip cstate="print" r:embed="rId38"/>
        <a:stretch>
          <a:fillRect/>
        </a:stretch>
      </xdr:blipFill>
      <xdr:spPr>
        <a:prstGeom prst="rect">
          <a:avLst/>
        </a:prstGeom>
        <a:noFill/>
      </xdr:spPr>
    </xdr:pic>
    <xdr:clientData fLocksWithSheet="0"/>
  </xdr:oneCellAnchor>
  <xdr:oneCellAnchor>
    <xdr:from>
      <xdr:col>0</xdr:col>
      <xdr:colOff>0</xdr:colOff>
      <xdr:row>39</xdr:row>
      <xdr:rowOff>0</xdr:rowOff>
    </xdr:from>
    <xdr:ext cx="314325" cy="314325"/>
    <xdr:pic>
      <xdr:nvPicPr>
        <xdr:cNvPr id="0" name="image56.png"/>
        <xdr:cNvPicPr preferRelativeResize="0"/>
      </xdr:nvPicPr>
      <xdr:blipFill>
        <a:blip cstate="print" r:embed="rId39"/>
        <a:stretch>
          <a:fillRect/>
        </a:stretch>
      </xdr:blipFill>
      <xdr:spPr>
        <a:prstGeom prst="rect">
          <a:avLst/>
        </a:prstGeom>
        <a:noFill/>
      </xdr:spPr>
    </xdr:pic>
    <xdr:clientData fLocksWithSheet="0"/>
  </xdr:oneCellAnchor>
  <xdr:oneCellAnchor>
    <xdr:from>
      <xdr:col>0</xdr:col>
      <xdr:colOff>0</xdr:colOff>
      <xdr:row>40</xdr:row>
      <xdr:rowOff>0</xdr:rowOff>
    </xdr:from>
    <xdr:ext cx="314325" cy="314325"/>
    <xdr:pic>
      <xdr:nvPicPr>
        <xdr:cNvPr id="0" name="image42.png"/>
        <xdr:cNvPicPr preferRelativeResize="0"/>
      </xdr:nvPicPr>
      <xdr:blipFill>
        <a:blip cstate="print" r:embed="rId40"/>
        <a:stretch>
          <a:fillRect/>
        </a:stretch>
      </xdr:blipFill>
      <xdr:spPr>
        <a:prstGeom prst="rect">
          <a:avLst/>
        </a:prstGeom>
        <a:noFill/>
      </xdr:spPr>
    </xdr:pic>
    <xdr:clientData fLocksWithSheet="0"/>
  </xdr:oneCellAnchor>
  <xdr:oneCellAnchor>
    <xdr:from>
      <xdr:col>0</xdr:col>
      <xdr:colOff>0</xdr:colOff>
      <xdr:row>41</xdr:row>
      <xdr:rowOff>0</xdr:rowOff>
    </xdr:from>
    <xdr:ext cx="314325" cy="314325"/>
    <xdr:pic>
      <xdr:nvPicPr>
        <xdr:cNvPr id="0" name="image36.png"/>
        <xdr:cNvPicPr preferRelativeResize="0"/>
      </xdr:nvPicPr>
      <xdr:blipFill>
        <a:blip cstate="print" r:embed="rId41"/>
        <a:stretch>
          <a:fillRect/>
        </a:stretch>
      </xdr:blipFill>
      <xdr:spPr>
        <a:prstGeom prst="rect">
          <a:avLst/>
        </a:prstGeom>
        <a:noFill/>
      </xdr:spPr>
    </xdr:pic>
    <xdr:clientData fLocksWithSheet="0"/>
  </xdr:oneCellAnchor>
  <xdr:oneCellAnchor>
    <xdr:from>
      <xdr:col>0</xdr:col>
      <xdr:colOff>0</xdr:colOff>
      <xdr:row>42</xdr:row>
      <xdr:rowOff>0</xdr:rowOff>
    </xdr:from>
    <xdr:ext cx="314325" cy="314325"/>
    <xdr:pic>
      <xdr:nvPicPr>
        <xdr:cNvPr id="0" name="image50.png"/>
        <xdr:cNvPicPr preferRelativeResize="0"/>
      </xdr:nvPicPr>
      <xdr:blipFill>
        <a:blip cstate="print" r:embed="rId42"/>
        <a:stretch>
          <a:fillRect/>
        </a:stretch>
      </xdr:blipFill>
      <xdr:spPr>
        <a:prstGeom prst="rect">
          <a:avLst/>
        </a:prstGeom>
        <a:noFill/>
      </xdr:spPr>
    </xdr:pic>
    <xdr:clientData fLocksWithSheet="0"/>
  </xdr:oneCellAnchor>
  <xdr:oneCellAnchor>
    <xdr:from>
      <xdr:col>0</xdr:col>
      <xdr:colOff>0</xdr:colOff>
      <xdr:row>43</xdr:row>
      <xdr:rowOff>0</xdr:rowOff>
    </xdr:from>
    <xdr:ext cx="314325" cy="314325"/>
    <xdr:pic>
      <xdr:nvPicPr>
        <xdr:cNvPr id="0" name="image27.png"/>
        <xdr:cNvPicPr preferRelativeResize="0"/>
      </xdr:nvPicPr>
      <xdr:blipFill>
        <a:blip cstate="print" r:embed="rId43"/>
        <a:stretch>
          <a:fillRect/>
        </a:stretch>
      </xdr:blipFill>
      <xdr:spPr>
        <a:prstGeom prst="rect">
          <a:avLst/>
        </a:prstGeom>
        <a:noFill/>
      </xdr:spPr>
    </xdr:pic>
    <xdr:clientData fLocksWithSheet="0"/>
  </xdr:oneCellAnchor>
  <xdr:oneCellAnchor>
    <xdr:from>
      <xdr:col>0</xdr:col>
      <xdr:colOff>0</xdr:colOff>
      <xdr:row>44</xdr:row>
      <xdr:rowOff>0</xdr:rowOff>
    </xdr:from>
    <xdr:ext cx="314325" cy="314325"/>
    <xdr:pic>
      <xdr:nvPicPr>
        <xdr:cNvPr id="0" name="image29.png"/>
        <xdr:cNvPicPr preferRelativeResize="0"/>
      </xdr:nvPicPr>
      <xdr:blipFill>
        <a:blip cstate="print" r:embed="rId44"/>
        <a:stretch>
          <a:fillRect/>
        </a:stretch>
      </xdr:blipFill>
      <xdr:spPr>
        <a:prstGeom prst="rect">
          <a:avLst/>
        </a:prstGeom>
        <a:noFill/>
      </xdr:spPr>
    </xdr:pic>
    <xdr:clientData fLocksWithSheet="0"/>
  </xdr:oneCellAnchor>
  <xdr:oneCellAnchor>
    <xdr:from>
      <xdr:col>0</xdr:col>
      <xdr:colOff>0</xdr:colOff>
      <xdr:row>45</xdr:row>
      <xdr:rowOff>0</xdr:rowOff>
    </xdr:from>
    <xdr:ext cx="314325" cy="314325"/>
    <xdr:pic>
      <xdr:nvPicPr>
        <xdr:cNvPr id="0" name="image53.png"/>
        <xdr:cNvPicPr preferRelativeResize="0"/>
      </xdr:nvPicPr>
      <xdr:blipFill>
        <a:blip cstate="print" r:embed="rId45"/>
        <a:stretch>
          <a:fillRect/>
        </a:stretch>
      </xdr:blipFill>
      <xdr:spPr>
        <a:prstGeom prst="rect">
          <a:avLst/>
        </a:prstGeom>
        <a:noFill/>
      </xdr:spPr>
    </xdr:pic>
    <xdr:clientData fLocksWithSheet="0"/>
  </xdr:oneCellAnchor>
  <xdr:oneCellAnchor>
    <xdr:from>
      <xdr:col>0</xdr:col>
      <xdr:colOff>0</xdr:colOff>
      <xdr:row>46</xdr:row>
      <xdr:rowOff>0</xdr:rowOff>
    </xdr:from>
    <xdr:ext cx="314325" cy="314325"/>
    <xdr:pic>
      <xdr:nvPicPr>
        <xdr:cNvPr id="0" name="image51.png"/>
        <xdr:cNvPicPr preferRelativeResize="0"/>
      </xdr:nvPicPr>
      <xdr:blipFill>
        <a:blip cstate="print" r:embed="rId46"/>
        <a:stretch>
          <a:fillRect/>
        </a:stretch>
      </xdr:blipFill>
      <xdr:spPr>
        <a:prstGeom prst="rect">
          <a:avLst/>
        </a:prstGeom>
        <a:noFill/>
      </xdr:spPr>
    </xdr:pic>
    <xdr:clientData fLocksWithSheet="0"/>
  </xdr:oneCellAnchor>
  <xdr:oneCellAnchor>
    <xdr:from>
      <xdr:col>0</xdr:col>
      <xdr:colOff>0</xdr:colOff>
      <xdr:row>47</xdr:row>
      <xdr:rowOff>0</xdr:rowOff>
    </xdr:from>
    <xdr:ext cx="314325" cy="314325"/>
    <xdr:pic>
      <xdr:nvPicPr>
        <xdr:cNvPr id="0" name="image31.png"/>
        <xdr:cNvPicPr preferRelativeResize="0"/>
      </xdr:nvPicPr>
      <xdr:blipFill>
        <a:blip cstate="print" r:embed="rId47"/>
        <a:stretch>
          <a:fillRect/>
        </a:stretch>
      </xdr:blipFill>
      <xdr:spPr>
        <a:prstGeom prst="rect">
          <a:avLst/>
        </a:prstGeom>
        <a:noFill/>
      </xdr:spPr>
    </xdr:pic>
    <xdr:clientData fLocksWithSheet="0"/>
  </xdr:oneCellAnchor>
  <xdr:oneCellAnchor>
    <xdr:from>
      <xdr:col>0</xdr:col>
      <xdr:colOff>0</xdr:colOff>
      <xdr:row>48</xdr:row>
      <xdr:rowOff>0</xdr:rowOff>
    </xdr:from>
    <xdr:ext cx="314325" cy="314325"/>
    <xdr:pic>
      <xdr:nvPicPr>
        <xdr:cNvPr id="0" name="image33.png"/>
        <xdr:cNvPicPr preferRelativeResize="0"/>
      </xdr:nvPicPr>
      <xdr:blipFill>
        <a:blip cstate="print" r:embed="rId48"/>
        <a:stretch>
          <a:fillRect/>
        </a:stretch>
      </xdr:blipFill>
      <xdr:spPr>
        <a:prstGeom prst="rect">
          <a:avLst/>
        </a:prstGeom>
        <a:noFill/>
      </xdr:spPr>
    </xdr:pic>
    <xdr:clientData fLocksWithSheet="0"/>
  </xdr:oneCellAnchor>
  <xdr:oneCellAnchor>
    <xdr:from>
      <xdr:col>0</xdr:col>
      <xdr:colOff>0</xdr:colOff>
      <xdr:row>49</xdr:row>
      <xdr:rowOff>0</xdr:rowOff>
    </xdr:from>
    <xdr:ext cx="314325" cy="314325"/>
    <xdr:pic>
      <xdr:nvPicPr>
        <xdr:cNvPr id="0" name="image44.png"/>
        <xdr:cNvPicPr preferRelativeResize="0"/>
      </xdr:nvPicPr>
      <xdr:blipFill>
        <a:blip cstate="print" r:embed="rId49"/>
        <a:stretch>
          <a:fillRect/>
        </a:stretch>
      </xdr:blipFill>
      <xdr:spPr>
        <a:prstGeom prst="rect">
          <a:avLst/>
        </a:prstGeom>
        <a:noFill/>
      </xdr:spPr>
    </xdr:pic>
    <xdr:clientData fLocksWithSheet="0"/>
  </xdr:oneCellAnchor>
  <xdr:oneCellAnchor>
    <xdr:from>
      <xdr:col>0</xdr:col>
      <xdr:colOff>0</xdr:colOff>
      <xdr:row>50</xdr:row>
      <xdr:rowOff>0</xdr:rowOff>
    </xdr:from>
    <xdr:ext cx="314325" cy="314325"/>
    <xdr:pic>
      <xdr:nvPicPr>
        <xdr:cNvPr id="0" name="image32.png"/>
        <xdr:cNvPicPr preferRelativeResize="0"/>
      </xdr:nvPicPr>
      <xdr:blipFill>
        <a:blip cstate="print" r:embed="rId50"/>
        <a:stretch>
          <a:fillRect/>
        </a:stretch>
      </xdr:blipFill>
      <xdr:spPr>
        <a:prstGeom prst="rect">
          <a:avLst/>
        </a:prstGeom>
        <a:noFill/>
      </xdr:spPr>
    </xdr:pic>
    <xdr:clientData fLocksWithSheet="0"/>
  </xdr:oneCellAnchor>
  <xdr:oneCellAnchor>
    <xdr:from>
      <xdr:col>0</xdr:col>
      <xdr:colOff>0</xdr:colOff>
      <xdr:row>51</xdr:row>
      <xdr:rowOff>0</xdr:rowOff>
    </xdr:from>
    <xdr:ext cx="314325" cy="314325"/>
    <xdr:pic>
      <xdr:nvPicPr>
        <xdr:cNvPr id="0" name="image35.png"/>
        <xdr:cNvPicPr preferRelativeResize="0"/>
      </xdr:nvPicPr>
      <xdr:blipFill>
        <a:blip cstate="print" r:embed="rId51"/>
        <a:stretch>
          <a:fillRect/>
        </a:stretch>
      </xdr:blipFill>
      <xdr:spPr>
        <a:prstGeom prst="rect">
          <a:avLst/>
        </a:prstGeom>
        <a:noFill/>
      </xdr:spPr>
    </xdr:pic>
    <xdr:clientData fLocksWithSheet="0"/>
  </xdr:oneCellAnchor>
  <xdr:oneCellAnchor>
    <xdr:from>
      <xdr:col>0</xdr:col>
      <xdr:colOff>0</xdr:colOff>
      <xdr:row>52</xdr:row>
      <xdr:rowOff>0</xdr:rowOff>
    </xdr:from>
    <xdr:ext cx="314325" cy="314325"/>
    <xdr:pic>
      <xdr:nvPicPr>
        <xdr:cNvPr id="0" name="image34.png"/>
        <xdr:cNvPicPr preferRelativeResize="0"/>
      </xdr:nvPicPr>
      <xdr:blipFill>
        <a:blip cstate="print" r:embed="rId52"/>
        <a:stretch>
          <a:fillRect/>
        </a:stretch>
      </xdr:blipFill>
      <xdr:spPr>
        <a:prstGeom prst="rect">
          <a:avLst/>
        </a:prstGeom>
        <a:noFill/>
      </xdr:spPr>
    </xdr:pic>
    <xdr:clientData fLocksWithSheet="0"/>
  </xdr:oneCellAnchor>
  <xdr:oneCellAnchor>
    <xdr:from>
      <xdr:col>0</xdr:col>
      <xdr:colOff>0</xdr:colOff>
      <xdr:row>53</xdr:row>
      <xdr:rowOff>0</xdr:rowOff>
    </xdr:from>
    <xdr:ext cx="314325" cy="314325"/>
    <xdr:pic>
      <xdr:nvPicPr>
        <xdr:cNvPr id="0" name="image40.png"/>
        <xdr:cNvPicPr preferRelativeResize="0"/>
      </xdr:nvPicPr>
      <xdr:blipFill>
        <a:blip cstate="print" r:embed="rId53"/>
        <a:stretch>
          <a:fillRect/>
        </a:stretch>
      </xdr:blipFill>
      <xdr:spPr>
        <a:prstGeom prst="rect">
          <a:avLst/>
        </a:prstGeom>
        <a:noFill/>
      </xdr:spPr>
    </xdr:pic>
    <xdr:clientData fLocksWithSheet="0"/>
  </xdr:oneCellAnchor>
  <xdr:oneCellAnchor>
    <xdr:from>
      <xdr:col>0</xdr:col>
      <xdr:colOff>0</xdr:colOff>
      <xdr:row>54</xdr:row>
      <xdr:rowOff>0</xdr:rowOff>
    </xdr:from>
    <xdr:ext cx="314325" cy="314325"/>
    <xdr:pic>
      <xdr:nvPicPr>
        <xdr:cNvPr id="0" name="image39.png"/>
        <xdr:cNvPicPr preferRelativeResize="0"/>
      </xdr:nvPicPr>
      <xdr:blipFill>
        <a:blip cstate="print" r:embed="rId54"/>
        <a:stretch>
          <a:fillRect/>
        </a:stretch>
      </xdr:blipFill>
      <xdr:spPr>
        <a:prstGeom prst="rect">
          <a:avLst/>
        </a:prstGeom>
        <a:noFill/>
      </xdr:spPr>
    </xdr:pic>
    <xdr:clientData fLocksWithSheet="0"/>
  </xdr:oneCellAnchor>
  <xdr:oneCellAnchor>
    <xdr:from>
      <xdr:col>0</xdr:col>
      <xdr:colOff>0</xdr:colOff>
      <xdr:row>55</xdr:row>
      <xdr:rowOff>0</xdr:rowOff>
    </xdr:from>
    <xdr:ext cx="314325" cy="314325"/>
    <xdr:pic>
      <xdr:nvPicPr>
        <xdr:cNvPr id="0" name="image43.png"/>
        <xdr:cNvPicPr preferRelativeResize="0"/>
      </xdr:nvPicPr>
      <xdr:blipFill>
        <a:blip cstate="print" r:embed="rId55"/>
        <a:stretch>
          <a:fillRect/>
        </a:stretch>
      </xdr:blipFill>
      <xdr:spPr>
        <a:prstGeom prst="rect">
          <a:avLst/>
        </a:prstGeom>
        <a:noFill/>
      </xdr:spPr>
    </xdr:pic>
    <xdr:clientData fLocksWithSheet="0"/>
  </xdr:oneCellAnchor>
  <xdr:oneCellAnchor>
    <xdr:from>
      <xdr:col>0</xdr:col>
      <xdr:colOff>0</xdr:colOff>
      <xdr:row>56</xdr:row>
      <xdr:rowOff>0</xdr:rowOff>
    </xdr:from>
    <xdr:ext cx="314325" cy="314325"/>
    <xdr:pic>
      <xdr:nvPicPr>
        <xdr:cNvPr id="0" name="image47.png"/>
        <xdr:cNvPicPr preferRelativeResize="0"/>
      </xdr:nvPicPr>
      <xdr:blipFill>
        <a:blip cstate="print" r:embed="rId56"/>
        <a:stretch>
          <a:fillRect/>
        </a:stretch>
      </xdr:blipFill>
      <xdr:spPr>
        <a:prstGeom prst="rect">
          <a:avLst/>
        </a:prstGeom>
        <a:noFill/>
      </xdr:spPr>
    </xdr:pic>
    <xdr:clientData fLocksWithSheet="0"/>
  </xdr:oneCellAnchor>
  <xdr:oneCellAnchor>
    <xdr:from>
      <xdr:col>0</xdr:col>
      <xdr:colOff>0</xdr:colOff>
      <xdr:row>57</xdr:row>
      <xdr:rowOff>0</xdr:rowOff>
    </xdr:from>
    <xdr:ext cx="314325" cy="314325"/>
    <xdr:pic>
      <xdr:nvPicPr>
        <xdr:cNvPr id="0" name="image46.png"/>
        <xdr:cNvPicPr preferRelativeResize="0"/>
      </xdr:nvPicPr>
      <xdr:blipFill>
        <a:blip cstate="print" r:embed="rId57"/>
        <a:stretch>
          <a:fillRect/>
        </a:stretch>
      </xdr:blipFill>
      <xdr:spPr>
        <a:prstGeom prst="rect">
          <a:avLst/>
        </a:prstGeom>
        <a:noFill/>
      </xdr:spPr>
    </xdr:pic>
    <xdr:clientData fLocksWithSheet="0"/>
  </xdr:oneCellAnchor>
  <xdr:oneCellAnchor>
    <xdr:from>
      <xdr:col>0</xdr:col>
      <xdr:colOff>0</xdr:colOff>
      <xdr:row>58</xdr:row>
      <xdr:rowOff>0</xdr:rowOff>
    </xdr:from>
    <xdr:ext cx="314325" cy="314325"/>
    <xdr:pic>
      <xdr:nvPicPr>
        <xdr:cNvPr id="0" name="image77.png"/>
        <xdr:cNvPicPr preferRelativeResize="0"/>
      </xdr:nvPicPr>
      <xdr:blipFill>
        <a:blip cstate="print" r:embed="rId58"/>
        <a:stretch>
          <a:fillRect/>
        </a:stretch>
      </xdr:blipFill>
      <xdr:spPr>
        <a:prstGeom prst="rect">
          <a:avLst/>
        </a:prstGeom>
        <a:noFill/>
      </xdr:spPr>
    </xdr:pic>
    <xdr:clientData fLocksWithSheet="0"/>
  </xdr:oneCellAnchor>
  <xdr:oneCellAnchor>
    <xdr:from>
      <xdr:col>0</xdr:col>
      <xdr:colOff>0</xdr:colOff>
      <xdr:row>59</xdr:row>
      <xdr:rowOff>0</xdr:rowOff>
    </xdr:from>
    <xdr:ext cx="314325" cy="314325"/>
    <xdr:pic>
      <xdr:nvPicPr>
        <xdr:cNvPr id="0" name="image73.png"/>
        <xdr:cNvPicPr preferRelativeResize="0"/>
      </xdr:nvPicPr>
      <xdr:blipFill>
        <a:blip cstate="print" r:embed="rId59"/>
        <a:stretch>
          <a:fillRect/>
        </a:stretch>
      </xdr:blipFill>
      <xdr:spPr>
        <a:prstGeom prst="rect">
          <a:avLst/>
        </a:prstGeom>
        <a:noFill/>
      </xdr:spPr>
    </xdr:pic>
    <xdr:clientData fLocksWithSheet="0"/>
  </xdr:oneCellAnchor>
  <xdr:oneCellAnchor>
    <xdr:from>
      <xdr:col>0</xdr:col>
      <xdr:colOff>0</xdr:colOff>
      <xdr:row>60</xdr:row>
      <xdr:rowOff>0</xdr:rowOff>
    </xdr:from>
    <xdr:ext cx="314325" cy="314325"/>
    <xdr:pic>
      <xdr:nvPicPr>
        <xdr:cNvPr id="0" name="image74.png"/>
        <xdr:cNvPicPr preferRelativeResize="0"/>
      </xdr:nvPicPr>
      <xdr:blipFill>
        <a:blip cstate="print" r:embed="rId60"/>
        <a:stretch>
          <a:fillRect/>
        </a:stretch>
      </xdr:blipFill>
      <xdr:spPr>
        <a:prstGeom prst="rect">
          <a:avLst/>
        </a:prstGeom>
        <a:noFill/>
      </xdr:spPr>
    </xdr:pic>
    <xdr:clientData fLocksWithSheet="0"/>
  </xdr:oneCellAnchor>
  <xdr:oneCellAnchor>
    <xdr:from>
      <xdr:col>0</xdr:col>
      <xdr:colOff>0</xdr:colOff>
      <xdr:row>61</xdr:row>
      <xdr:rowOff>0</xdr:rowOff>
    </xdr:from>
    <xdr:ext cx="314325" cy="314325"/>
    <xdr:pic>
      <xdr:nvPicPr>
        <xdr:cNvPr id="0" name="image49.png"/>
        <xdr:cNvPicPr preferRelativeResize="0"/>
      </xdr:nvPicPr>
      <xdr:blipFill>
        <a:blip cstate="print" r:embed="rId61"/>
        <a:stretch>
          <a:fillRect/>
        </a:stretch>
      </xdr:blipFill>
      <xdr:spPr>
        <a:prstGeom prst="rect">
          <a:avLst/>
        </a:prstGeom>
        <a:noFill/>
      </xdr:spPr>
    </xdr:pic>
    <xdr:clientData fLocksWithSheet="0"/>
  </xdr:oneCellAnchor>
  <xdr:oneCellAnchor>
    <xdr:from>
      <xdr:col>0</xdr:col>
      <xdr:colOff>0</xdr:colOff>
      <xdr:row>62</xdr:row>
      <xdr:rowOff>0</xdr:rowOff>
    </xdr:from>
    <xdr:ext cx="314325" cy="314325"/>
    <xdr:pic>
      <xdr:nvPicPr>
        <xdr:cNvPr id="0" name="image58.png"/>
        <xdr:cNvPicPr preferRelativeResize="0"/>
      </xdr:nvPicPr>
      <xdr:blipFill>
        <a:blip cstate="print" r:embed="rId62"/>
        <a:stretch>
          <a:fillRect/>
        </a:stretch>
      </xdr:blipFill>
      <xdr:spPr>
        <a:prstGeom prst="rect">
          <a:avLst/>
        </a:prstGeom>
        <a:noFill/>
      </xdr:spPr>
    </xdr:pic>
    <xdr:clientData fLocksWithSheet="0"/>
  </xdr:oneCellAnchor>
  <xdr:oneCellAnchor>
    <xdr:from>
      <xdr:col>0</xdr:col>
      <xdr:colOff>0</xdr:colOff>
      <xdr:row>63</xdr:row>
      <xdr:rowOff>0</xdr:rowOff>
    </xdr:from>
    <xdr:ext cx="314325" cy="314325"/>
    <xdr:pic>
      <xdr:nvPicPr>
        <xdr:cNvPr id="0" name="image59.png"/>
        <xdr:cNvPicPr preferRelativeResize="0"/>
      </xdr:nvPicPr>
      <xdr:blipFill>
        <a:blip cstate="print" r:embed="rId63"/>
        <a:stretch>
          <a:fillRect/>
        </a:stretch>
      </xdr:blipFill>
      <xdr:spPr>
        <a:prstGeom prst="rect">
          <a:avLst/>
        </a:prstGeom>
        <a:noFill/>
      </xdr:spPr>
    </xdr:pic>
    <xdr:clientData fLocksWithSheet="0"/>
  </xdr:oneCellAnchor>
  <xdr:oneCellAnchor>
    <xdr:from>
      <xdr:col>0</xdr:col>
      <xdr:colOff>0</xdr:colOff>
      <xdr:row>64</xdr:row>
      <xdr:rowOff>0</xdr:rowOff>
    </xdr:from>
    <xdr:ext cx="314325" cy="314325"/>
    <xdr:pic>
      <xdr:nvPicPr>
        <xdr:cNvPr id="0" name="image48.png"/>
        <xdr:cNvPicPr preferRelativeResize="0"/>
      </xdr:nvPicPr>
      <xdr:blipFill>
        <a:blip cstate="print" r:embed="rId64"/>
        <a:stretch>
          <a:fillRect/>
        </a:stretch>
      </xdr:blipFill>
      <xdr:spPr>
        <a:prstGeom prst="rect">
          <a:avLst/>
        </a:prstGeom>
        <a:noFill/>
      </xdr:spPr>
    </xdr:pic>
    <xdr:clientData fLocksWithSheet="0"/>
  </xdr:oneCellAnchor>
  <xdr:oneCellAnchor>
    <xdr:from>
      <xdr:col>0</xdr:col>
      <xdr:colOff>0</xdr:colOff>
      <xdr:row>65</xdr:row>
      <xdr:rowOff>0</xdr:rowOff>
    </xdr:from>
    <xdr:ext cx="314325" cy="314325"/>
    <xdr:pic>
      <xdr:nvPicPr>
        <xdr:cNvPr id="0" name="image76.png"/>
        <xdr:cNvPicPr preferRelativeResize="0"/>
      </xdr:nvPicPr>
      <xdr:blipFill>
        <a:blip cstate="print" r:embed="rId65"/>
        <a:stretch>
          <a:fillRect/>
        </a:stretch>
      </xdr:blipFill>
      <xdr:spPr>
        <a:prstGeom prst="rect">
          <a:avLst/>
        </a:prstGeom>
        <a:noFill/>
      </xdr:spPr>
    </xdr:pic>
    <xdr:clientData fLocksWithSheet="0"/>
  </xdr:oneCellAnchor>
  <xdr:oneCellAnchor>
    <xdr:from>
      <xdr:col>0</xdr:col>
      <xdr:colOff>0</xdr:colOff>
      <xdr:row>66</xdr:row>
      <xdr:rowOff>0</xdr:rowOff>
    </xdr:from>
    <xdr:ext cx="314325" cy="314325"/>
    <xdr:pic>
      <xdr:nvPicPr>
        <xdr:cNvPr id="0" name="image57.png"/>
        <xdr:cNvPicPr preferRelativeResize="0"/>
      </xdr:nvPicPr>
      <xdr:blipFill>
        <a:blip cstate="print" r:embed="rId66"/>
        <a:stretch>
          <a:fillRect/>
        </a:stretch>
      </xdr:blipFill>
      <xdr:spPr>
        <a:prstGeom prst="rect">
          <a:avLst/>
        </a:prstGeom>
        <a:noFill/>
      </xdr:spPr>
    </xdr:pic>
    <xdr:clientData fLocksWithSheet="0"/>
  </xdr:oneCellAnchor>
  <xdr:oneCellAnchor>
    <xdr:from>
      <xdr:col>0</xdr:col>
      <xdr:colOff>0</xdr:colOff>
      <xdr:row>67</xdr:row>
      <xdr:rowOff>0</xdr:rowOff>
    </xdr:from>
    <xdr:ext cx="314325" cy="314325"/>
    <xdr:pic>
      <xdr:nvPicPr>
        <xdr:cNvPr id="0" name="image63.png"/>
        <xdr:cNvPicPr preferRelativeResize="0"/>
      </xdr:nvPicPr>
      <xdr:blipFill>
        <a:blip cstate="print" r:embed="rId67"/>
        <a:stretch>
          <a:fillRect/>
        </a:stretch>
      </xdr:blipFill>
      <xdr:spPr>
        <a:prstGeom prst="rect">
          <a:avLst/>
        </a:prstGeom>
        <a:noFill/>
      </xdr:spPr>
    </xdr:pic>
    <xdr:clientData fLocksWithSheet="0"/>
  </xdr:oneCellAnchor>
  <xdr:oneCellAnchor>
    <xdr:from>
      <xdr:col>0</xdr:col>
      <xdr:colOff>0</xdr:colOff>
      <xdr:row>68</xdr:row>
      <xdr:rowOff>0</xdr:rowOff>
    </xdr:from>
    <xdr:ext cx="314325" cy="314325"/>
    <xdr:pic>
      <xdr:nvPicPr>
        <xdr:cNvPr id="0" name="image68.png"/>
        <xdr:cNvPicPr preferRelativeResize="0"/>
      </xdr:nvPicPr>
      <xdr:blipFill>
        <a:blip cstate="print" r:embed="rId68"/>
        <a:stretch>
          <a:fillRect/>
        </a:stretch>
      </xdr:blipFill>
      <xdr:spPr>
        <a:prstGeom prst="rect">
          <a:avLst/>
        </a:prstGeom>
        <a:noFill/>
      </xdr:spPr>
    </xdr:pic>
    <xdr:clientData fLocksWithSheet="0"/>
  </xdr:oneCellAnchor>
  <xdr:oneCellAnchor>
    <xdr:from>
      <xdr:col>0</xdr:col>
      <xdr:colOff>0</xdr:colOff>
      <xdr:row>69</xdr:row>
      <xdr:rowOff>0</xdr:rowOff>
    </xdr:from>
    <xdr:ext cx="314325" cy="314325"/>
    <xdr:pic>
      <xdr:nvPicPr>
        <xdr:cNvPr id="0" name="image55.png"/>
        <xdr:cNvPicPr preferRelativeResize="0"/>
      </xdr:nvPicPr>
      <xdr:blipFill>
        <a:blip cstate="print" r:embed="rId69"/>
        <a:stretch>
          <a:fillRect/>
        </a:stretch>
      </xdr:blipFill>
      <xdr:spPr>
        <a:prstGeom prst="rect">
          <a:avLst/>
        </a:prstGeom>
        <a:noFill/>
      </xdr:spPr>
    </xdr:pic>
    <xdr:clientData fLocksWithSheet="0"/>
  </xdr:oneCellAnchor>
  <xdr:oneCellAnchor>
    <xdr:from>
      <xdr:col>0</xdr:col>
      <xdr:colOff>0</xdr:colOff>
      <xdr:row>70</xdr:row>
      <xdr:rowOff>0</xdr:rowOff>
    </xdr:from>
    <xdr:ext cx="314325" cy="314325"/>
    <xdr:pic>
      <xdr:nvPicPr>
        <xdr:cNvPr id="0" name="image70.png"/>
        <xdr:cNvPicPr preferRelativeResize="0"/>
      </xdr:nvPicPr>
      <xdr:blipFill>
        <a:blip cstate="print" r:embed="rId70"/>
        <a:stretch>
          <a:fillRect/>
        </a:stretch>
      </xdr:blipFill>
      <xdr:spPr>
        <a:prstGeom prst="rect">
          <a:avLst/>
        </a:prstGeom>
        <a:noFill/>
      </xdr:spPr>
    </xdr:pic>
    <xdr:clientData fLocksWithSheet="0"/>
  </xdr:oneCellAnchor>
  <xdr:oneCellAnchor>
    <xdr:from>
      <xdr:col>0</xdr:col>
      <xdr:colOff>0</xdr:colOff>
      <xdr:row>71</xdr:row>
      <xdr:rowOff>0</xdr:rowOff>
    </xdr:from>
    <xdr:ext cx="314325" cy="314325"/>
    <xdr:pic>
      <xdr:nvPicPr>
        <xdr:cNvPr id="0" name="image80.png"/>
        <xdr:cNvPicPr preferRelativeResize="0"/>
      </xdr:nvPicPr>
      <xdr:blipFill>
        <a:blip cstate="print" r:embed="rId71"/>
        <a:stretch>
          <a:fillRect/>
        </a:stretch>
      </xdr:blipFill>
      <xdr:spPr>
        <a:prstGeom prst="rect">
          <a:avLst/>
        </a:prstGeom>
        <a:noFill/>
      </xdr:spPr>
    </xdr:pic>
    <xdr:clientData fLocksWithSheet="0"/>
  </xdr:oneCellAnchor>
  <xdr:oneCellAnchor>
    <xdr:from>
      <xdr:col>0</xdr:col>
      <xdr:colOff>0</xdr:colOff>
      <xdr:row>72</xdr:row>
      <xdr:rowOff>0</xdr:rowOff>
    </xdr:from>
    <xdr:ext cx="314325" cy="314325"/>
    <xdr:pic>
      <xdr:nvPicPr>
        <xdr:cNvPr id="0" name="image61.png"/>
        <xdr:cNvPicPr preferRelativeResize="0"/>
      </xdr:nvPicPr>
      <xdr:blipFill>
        <a:blip cstate="print" r:embed="rId72"/>
        <a:stretch>
          <a:fillRect/>
        </a:stretch>
      </xdr:blipFill>
      <xdr:spPr>
        <a:prstGeom prst="rect">
          <a:avLst/>
        </a:prstGeom>
        <a:noFill/>
      </xdr:spPr>
    </xdr:pic>
    <xdr:clientData fLocksWithSheet="0"/>
  </xdr:oneCellAnchor>
  <xdr:oneCellAnchor>
    <xdr:from>
      <xdr:col>0</xdr:col>
      <xdr:colOff>0</xdr:colOff>
      <xdr:row>73</xdr:row>
      <xdr:rowOff>0</xdr:rowOff>
    </xdr:from>
    <xdr:ext cx="314325" cy="314325"/>
    <xdr:pic>
      <xdr:nvPicPr>
        <xdr:cNvPr id="0" name="image62.png"/>
        <xdr:cNvPicPr preferRelativeResize="0"/>
      </xdr:nvPicPr>
      <xdr:blipFill>
        <a:blip cstate="print" r:embed="rId73"/>
        <a:stretch>
          <a:fillRect/>
        </a:stretch>
      </xdr:blipFill>
      <xdr:spPr>
        <a:prstGeom prst="rect">
          <a:avLst/>
        </a:prstGeom>
        <a:noFill/>
      </xdr:spPr>
    </xdr:pic>
    <xdr:clientData fLocksWithSheet="0"/>
  </xdr:oneCellAnchor>
  <xdr:oneCellAnchor>
    <xdr:from>
      <xdr:col>0</xdr:col>
      <xdr:colOff>0</xdr:colOff>
      <xdr:row>74</xdr:row>
      <xdr:rowOff>0</xdr:rowOff>
    </xdr:from>
    <xdr:ext cx="314325" cy="314325"/>
    <xdr:pic>
      <xdr:nvPicPr>
        <xdr:cNvPr id="0" name="image86.png"/>
        <xdr:cNvPicPr preferRelativeResize="0"/>
      </xdr:nvPicPr>
      <xdr:blipFill>
        <a:blip cstate="print" r:embed="rId74"/>
        <a:stretch>
          <a:fillRect/>
        </a:stretch>
      </xdr:blipFill>
      <xdr:spPr>
        <a:prstGeom prst="rect">
          <a:avLst/>
        </a:prstGeom>
        <a:noFill/>
      </xdr:spPr>
    </xdr:pic>
    <xdr:clientData fLocksWithSheet="0"/>
  </xdr:oneCellAnchor>
  <xdr:oneCellAnchor>
    <xdr:from>
      <xdr:col>0</xdr:col>
      <xdr:colOff>0</xdr:colOff>
      <xdr:row>75</xdr:row>
      <xdr:rowOff>0</xdr:rowOff>
    </xdr:from>
    <xdr:ext cx="314325" cy="314325"/>
    <xdr:pic>
      <xdr:nvPicPr>
        <xdr:cNvPr id="0" name="image92.png"/>
        <xdr:cNvPicPr preferRelativeResize="0"/>
      </xdr:nvPicPr>
      <xdr:blipFill>
        <a:blip cstate="print" r:embed="rId75"/>
        <a:stretch>
          <a:fillRect/>
        </a:stretch>
      </xdr:blipFill>
      <xdr:spPr>
        <a:prstGeom prst="rect">
          <a:avLst/>
        </a:prstGeom>
        <a:noFill/>
      </xdr:spPr>
    </xdr:pic>
    <xdr:clientData fLocksWithSheet="0"/>
  </xdr:oneCellAnchor>
  <xdr:oneCellAnchor>
    <xdr:from>
      <xdr:col>0</xdr:col>
      <xdr:colOff>0</xdr:colOff>
      <xdr:row>76</xdr:row>
      <xdr:rowOff>0</xdr:rowOff>
    </xdr:from>
    <xdr:ext cx="314325" cy="314325"/>
    <xdr:pic>
      <xdr:nvPicPr>
        <xdr:cNvPr id="0" name="image60.png"/>
        <xdr:cNvPicPr preferRelativeResize="0"/>
      </xdr:nvPicPr>
      <xdr:blipFill>
        <a:blip cstate="print" r:embed="rId76"/>
        <a:stretch>
          <a:fillRect/>
        </a:stretch>
      </xdr:blipFill>
      <xdr:spPr>
        <a:prstGeom prst="rect">
          <a:avLst/>
        </a:prstGeom>
        <a:noFill/>
      </xdr:spPr>
    </xdr:pic>
    <xdr:clientData fLocksWithSheet="0"/>
  </xdr:oneCellAnchor>
  <xdr:oneCellAnchor>
    <xdr:from>
      <xdr:col>0</xdr:col>
      <xdr:colOff>0</xdr:colOff>
      <xdr:row>77</xdr:row>
      <xdr:rowOff>0</xdr:rowOff>
    </xdr:from>
    <xdr:ext cx="314325" cy="314325"/>
    <xdr:pic>
      <xdr:nvPicPr>
        <xdr:cNvPr id="0" name="image65.png"/>
        <xdr:cNvPicPr preferRelativeResize="0"/>
      </xdr:nvPicPr>
      <xdr:blipFill>
        <a:blip cstate="print" r:embed="rId77"/>
        <a:stretch>
          <a:fillRect/>
        </a:stretch>
      </xdr:blipFill>
      <xdr:spPr>
        <a:prstGeom prst="rect">
          <a:avLst/>
        </a:prstGeom>
        <a:noFill/>
      </xdr:spPr>
    </xdr:pic>
    <xdr:clientData fLocksWithSheet="0"/>
  </xdr:oneCellAnchor>
  <xdr:oneCellAnchor>
    <xdr:from>
      <xdr:col>0</xdr:col>
      <xdr:colOff>0</xdr:colOff>
      <xdr:row>78</xdr:row>
      <xdr:rowOff>0</xdr:rowOff>
    </xdr:from>
    <xdr:ext cx="314325" cy="314325"/>
    <xdr:pic>
      <xdr:nvPicPr>
        <xdr:cNvPr id="0" name="image69.png"/>
        <xdr:cNvPicPr preferRelativeResize="0"/>
      </xdr:nvPicPr>
      <xdr:blipFill>
        <a:blip cstate="print" r:embed="rId78"/>
        <a:stretch>
          <a:fillRect/>
        </a:stretch>
      </xdr:blipFill>
      <xdr:spPr>
        <a:prstGeom prst="rect">
          <a:avLst/>
        </a:prstGeom>
        <a:noFill/>
      </xdr:spPr>
    </xdr:pic>
    <xdr:clientData fLocksWithSheet="0"/>
  </xdr:oneCellAnchor>
  <xdr:oneCellAnchor>
    <xdr:from>
      <xdr:col>0</xdr:col>
      <xdr:colOff>0</xdr:colOff>
      <xdr:row>79</xdr:row>
      <xdr:rowOff>0</xdr:rowOff>
    </xdr:from>
    <xdr:ext cx="314325" cy="314325"/>
    <xdr:pic>
      <xdr:nvPicPr>
        <xdr:cNvPr id="0" name="image66.png"/>
        <xdr:cNvPicPr preferRelativeResize="0"/>
      </xdr:nvPicPr>
      <xdr:blipFill>
        <a:blip cstate="print" r:embed="rId79"/>
        <a:stretch>
          <a:fillRect/>
        </a:stretch>
      </xdr:blipFill>
      <xdr:spPr>
        <a:prstGeom prst="rect">
          <a:avLst/>
        </a:prstGeom>
        <a:noFill/>
      </xdr:spPr>
    </xdr:pic>
    <xdr:clientData fLocksWithSheet="0"/>
  </xdr:oneCellAnchor>
  <xdr:oneCellAnchor>
    <xdr:from>
      <xdr:col>0</xdr:col>
      <xdr:colOff>0</xdr:colOff>
      <xdr:row>80</xdr:row>
      <xdr:rowOff>0</xdr:rowOff>
    </xdr:from>
    <xdr:ext cx="314325" cy="314325"/>
    <xdr:pic>
      <xdr:nvPicPr>
        <xdr:cNvPr id="0" name="image64.png"/>
        <xdr:cNvPicPr preferRelativeResize="0"/>
      </xdr:nvPicPr>
      <xdr:blipFill>
        <a:blip cstate="print" r:embed="rId80"/>
        <a:stretch>
          <a:fillRect/>
        </a:stretch>
      </xdr:blipFill>
      <xdr:spPr>
        <a:prstGeom prst="rect">
          <a:avLst/>
        </a:prstGeom>
        <a:noFill/>
      </xdr:spPr>
    </xdr:pic>
    <xdr:clientData fLocksWithSheet="0"/>
  </xdr:oneCellAnchor>
  <xdr:oneCellAnchor>
    <xdr:from>
      <xdr:col>0</xdr:col>
      <xdr:colOff>0</xdr:colOff>
      <xdr:row>81</xdr:row>
      <xdr:rowOff>0</xdr:rowOff>
    </xdr:from>
    <xdr:ext cx="314325" cy="314325"/>
    <xdr:pic>
      <xdr:nvPicPr>
        <xdr:cNvPr id="0" name="image94.png"/>
        <xdr:cNvPicPr preferRelativeResize="0"/>
      </xdr:nvPicPr>
      <xdr:blipFill>
        <a:blip cstate="print" r:embed="rId81"/>
        <a:stretch>
          <a:fillRect/>
        </a:stretch>
      </xdr:blipFill>
      <xdr:spPr>
        <a:prstGeom prst="rect">
          <a:avLst/>
        </a:prstGeom>
        <a:noFill/>
      </xdr:spPr>
    </xdr:pic>
    <xdr:clientData fLocksWithSheet="0"/>
  </xdr:oneCellAnchor>
  <xdr:oneCellAnchor>
    <xdr:from>
      <xdr:col>0</xdr:col>
      <xdr:colOff>0</xdr:colOff>
      <xdr:row>82</xdr:row>
      <xdr:rowOff>0</xdr:rowOff>
    </xdr:from>
    <xdr:ext cx="314325" cy="314325"/>
    <xdr:pic>
      <xdr:nvPicPr>
        <xdr:cNvPr id="0" name="image72.png"/>
        <xdr:cNvPicPr preferRelativeResize="0"/>
      </xdr:nvPicPr>
      <xdr:blipFill>
        <a:blip cstate="print" r:embed="rId82"/>
        <a:stretch>
          <a:fillRect/>
        </a:stretch>
      </xdr:blipFill>
      <xdr:spPr>
        <a:prstGeom prst="rect">
          <a:avLst/>
        </a:prstGeom>
        <a:noFill/>
      </xdr:spPr>
    </xdr:pic>
    <xdr:clientData fLocksWithSheet="0"/>
  </xdr:oneCellAnchor>
  <xdr:oneCellAnchor>
    <xdr:from>
      <xdr:col>0</xdr:col>
      <xdr:colOff>0</xdr:colOff>
      <xdr:row>83</xdr:row>
      <xdr:rowOff>0</xdr:rowOff>
    </xdr:from>
    <xdr:ext cx="314325" cy="314325"/>
    <xdr:pic>
      <xdr:nvPicPr>
        <xdr:cNvPr id="0" name="image75.png"/>
        <xdr:cNvPicPr preferRelativeResize="0"/>
      </xdr:nvPicPr>
      <xdr:blipFill>
        <a:blip cstate="print" r:embed="rId83"/>
        <a:stretch>
          <a:fillRect/>
        </a:stretch>
      </xdr:blipFill>
      <xdr:spPr>
        <a:prstGeom prst="rect">
          <a:avLst/>
        </a:prstGeom>
        <a:noFill/>
      </xdr:spPr>
    </xdr:pic>
    <xdr:clientData fLocksWithSheet="0"/>
  </xdr:oneCellAnchor>
  <xdr:oneCellAnchor>
    <xdr:from>
      <xdr:col>0</xdr:col>
      <xdr:colOff>0</xdr:colOff>
      <xdr:row>84</xdr:row>
      <xdr:rowOff>0</xdr:rowOff>
    </xdr:from>
    <xdr:ext cx="314325" cy="314325"/>
    <xdr:pic>
      <xdr:nvPicPr>
        <xdr:cNvPr id="0" name="image71.png"/>
        <xdr:cNvPicPr preferRelativeResize="0"/>
      </xdr:nvPicPr>
      <xdr:blipFill>
        <a:blip cstate="print" r:embed="rId84"/>
        <a:stretch>
          <a:fillRect/>
        </a:stretch>
      </xdr:blipFill>
      <xdr:spPr>
        <a:prstGeom prst="rect">
          <a:avLst/>
        </a:prstGeom>
        <a:noFill/>
      </xdr:spPr>
    </xdr:pic>
    <xdr:clientData fLocksWithSheet="0"/>
  </xdr:oneCellAnchor>
  <xdr:oneCellAnchor>
    <xdr:from>
      <xdr:col>0</xdr:col>
      <xdr:colOff>0</xdr:colOff>
      <xdr:row>85</xdr:row>
      <xdr:rowOff>0</xdr:rowOff>
    </xdr:from>
    <xdr:ext cx="314325" cy="314325"/>
    <xdr:pic>
      <xdr:nvPicPr>
        <xdr:cNvPr id="0" name="image83.png"/>
        <xdr:cNvPicPr preferRelativeResize="0"/>
      </xdr:nvPicPr>
      <xdr:blipFill>
        <a:blip cstate="print" r:embed="rId85"/>
        <a:stretch>
          <a:fillRect/>
        </a:stretch>
      </xdr:blipFill>
      <xdr:spPr>
        <a:prstGeom prst="rect">
          <a:avLst/>
        </a:prstGeom>
        <a:noFill/>
      </xdr:spPr>
    </xdr:pic>
    <xdr:clientData fLocksWithSheet="0"/>
  </xdr:oneCellAnchor>
  <xdr:oneCellAnchor>
    <xdr:from>
      <xdr:col>0</xdr:col>
      <xdr:colOff>0</xdr:colOff>
      <xdr:row>86</xdr:row>
      <xdr:rowOff>0</xdr:rowOff>
    </xdr:from>
    <xdr:ext cx="314325" cy="314325"/>
    <xdr:pic>
      <xdr:nvPicPr>
        <xdr:cNvPr id="0" name="image91.png"/>
        <xdr:cNvPicPr preferRelativeResize="0"/>
      </xdr:nvPicPr>
      <xdr:blipFill>
        <a:blip cstate="print" r:embed="rId86"/>
        <a:stretch>
          <a:fillRect/>
        </a:stretch>
      </xdr:blipFill>
      <xdr:spPr>
        <a:prstGeom prst="rect">
          <a:avLst/>
        </a:prstGeom>
        <a:noFill/>
      </xdr:spPr>
    </xdr:pic>
    <xdr:clientData fLocksWithSheet="0"/>
  </xdr:oneCellAnchor>
  <xdr:oneCellAnchor>
    <xdr:from>
      <xdr:col>0</xdr:col>
      <xdr:colOff>0</xdr:colOff>
      <xdr:row>87</xdr:row>
      <xdr:rowOff>0</xdr:rowOff>
    </xdr:from>
    <xdr:ext cx="314325" cy="314325"/>
    <xdr:pic>
      <xdr:nvPicPr>
        <xdr:cNvPr id="0" name="image78.png"/>
        <xdr:cNvPicPr preferRelativeResize="0"/>
      </xdr:nvPicPr>
      <xdr:blipFill>
        <a:blip cstate="print" r:embed="rId87"/>
        <a:stretch>
          <a:fillRect/>
        </a:stretch>
      </xdr:blipFill>
      <xdr:spPr>
        <a:prstGeom prst="rect">
          <a:avLst/>
        </a:prstGeom>
        <a:noFill/>
      </xdr:spPr>
    </xdr:pic>
    <xdr:clientData fLocksWithSheet="0"/>
  </xdr:oneCellAnchor>
  <xdr:oneCellAnchor>
    <xdr:from>
      <xdr:col>0</xdr:col>
      <xdr:colOff>0</xdr:colOff>
      <xdr:row>88</xdr:row>
      <xdr:rowOff>0</xdr:rowOff>
    </xdr:from>
    <xdr:ext cx="314325" cy="314325"/>
    <xdr:pic>
      <xdr:nvPicPr>
        <xdr:cNvPr id="0" name="image95.png"/>
        <xdr:cNvPicPr preferRelativeResize="0"/>
      </xdr:nvPicPr>
      <xdr:blipFill>
        <a:blip cstate="print" r:embed="rId88"/>
        <a:stretch>
          <a:fillRect/>
        </a:stretch>
      </xdr:blipFill>
      <xdr:spPr>
        <a:prstGeom prst="rect">
          <a:avLst/>
        </a:prstGeom>
        <a:noFill/>
      </xdr:spPr>
    </xdr:pic>
    <xdr:clientData fLocksWithSheet="0"/>
  </xdr:oneCellAnchor>
  <xdr:oneCellAnchor>
    <xdr:from>
      <xdr:col>0</xdr:col>
      <xdr:colOff>0</xdr:colOff>
      <xdr:row>89</xdr:row>
      <xdr:rowOff>0</xdr:rowOff>
    </xdr:from>
    <xdr:ext cx="314325" cy="314325"/>
    <xdr:pic>
      <xdr:nvPicPr>
        <xdr:cNvPr id="0" name="image154.png"/>
        <xdr:cNvPicPr preferRelativeResize="0"/>
      </xdr:nvPicPr>
      <xdr:blipFill>
        <a:blip cstate="print" r:embed="rId89"/>
        <a:stretch>
          <a:fillRect/>
        </a:stretch>
      </xdr:blipFill>
      <xdr:spPr>
        <a:prstGeom prst="rect">
          <a:avLst/>
        </a:prstGeom>
        <a:noFill/>
      </xdr:spPr>
    </xdr:pic>
    <xdr:clientData fLocksWithSheet="0"/>
  </xdr:oneCellAnchor>
  <xdr:oneCellAnchor>
    <xdr:from>
      <xdr:col>0</xdr:col>
      <xdr:colOff>0</xdr:colOff>
      <xdr:row>90</xdr:row>
      <xdr:rowOff>0</xdr:rowOff>
    </xdr:from>
    <xdr:ext cx="314325" cy="314325"/>
    <xdr:pic>
      <xdr:nvPicPr>
        <xdr:cNvPr id="0" name="image87.png"/>
        <xdr:cNvPicPr preferRelativeResize="0"/>
      </xdr:nvPicPr>
      <xdr:blipFill>
        <a:blip cstate="print" r:embed="rId89"/>
        <a:stretch>
          <a:fillRect/>
        </a:stretch>
      </xdr:blipFill>
      <xdr:spPr>
        <a:prstGeom prst="rect">
          <a:avLst/>
        </a:prstGeom>
        <a:noFill/>
      </xdr:spPr>
    </xdr:pic>
    <xdr:clientData fLocksWithSheet="0"/>
  </xdr:oneCellAnchor>
  <xdr:oneCellAnchor>
    <xdr:from>
      <xdr:col>0</xdr:col>
      <xdr:colOff>0</xdr:colOff>
      <xdr:row>91</xdr:row>
      <xdr:rowOff>0</xdr:rowOff>
    </xdr:from>
    <xdr:ext cx="314325" cy="314325"/>
    <xdr:pic>
      <xdr:nvPicPr>
        <xdr:cNvPr id="0" name="image84.png"/>
        <xdr:cNvPicPr preferRelativeResize="0"/>
      </xdr:nvPicPr>
      <xdr:blipFill>
        <a:blip cstate="print" r:embed="rId90"/>
        <a:stretch>
          <a:fillRect/>
        </a:stretch>
      </xdr:blipFill>
      <xdr:spPr>
        <a:prstGeom prst="rect">
          <a:avLst/>
        </a:prstGeom>
        <a:noFill/>
      </xdr:spPr>
    </xdr:pic>
    <xdr:clientData fLocksWithSheet="0"/>
  </xdr:oneCellAnchor>
  <xdr:oneCellAnchor>
    <xdr:from>
      <xdr:col>0</xdr:col>
      <xdr:colOff>0</xdr:colOff>
      <xdr:row>92</xdr:row>
      <xdr:rowOff>0</xdr:rowOff>
    </xdr:from>
    <xdr:ext cx="314325" cy="314325"/>
    <xdr:pic>
      <xdr:nvPicPr>
        <xdr:cNvPr id="0" name="image82.png"/>
        <xdr:cNvPicPr preferRelativeResize="0"/>
      </xdr:nvPicPr>
      <xdr:blipFill>
        <a:blip cstate="print" r:embed="rId91"/>
        <a:stretch>
          <a:fillRect/>
        </a:stretch>
      </xdr:blipFill>
      <xdr:spPr>
        <a:prstGeom prst="rect">
          <a:avLst/>
        </a:prstGeom>
        <a:noFill/>
      </xdr:spPr>
    </xdr:pic>
    <xdr:clientData fLocksWithSheet="0"/>
  </xdr:oneCellAnchor>
  <xdr:oneCellAnchor>
    <xdr:from>
      <xdr:col>0</xdr:col>
      <xdr:colOff>0</xdr:colOff>
      <xdr:row>93</xdr:row>
      <xdr:rowOff>0</xdr:rowOff>
    </xdr:from>
    <xdr:ext cx="314325" cy="314325"/>
    <xdr:pic>
      <xdr:nvPicPr>
        <xdr:cNvPr id="0" name="image89.png"/>
        <xdr:cNvPicPr preferRelativeResize="0"/>
      </xdr:nvPicPr>
      <xdr:blipFill>
        <a:blip cstate="print" r:embed="rId92"/>
        <a:stretch>
          <a:fillRect/>
        </a:stretch>
      </xdr:blipFill>
      <xdr:spPr>
        <a:prstGeom prst="rect">
          <a:avLst/>
        </a:prstGeom>
        <a:noFill/>
      </xdr:spPr>
    </xdr:pic>
    <xdr:clientData fLocksWithSheet="0"/>
  </xdr:oneCellAnchor>
  <xdr:oneCellAnchor>
    <xdr:from>
      <xdr:col>0</xdr:col>
      <xdr:colOff>0</xdr:colOff>
      <xdr:row>94</xdr:row>
      <xdr:rowOff>0</xdr:rowOff>
    </xdr:from>
    <xdr:ext cx="314325" cy="314325"/>
    <xdr:pic>
      <xdr:nvPicPr>
        <xdr:cNvPr id="0" name="image138.png"/>
        <xdr:cNvPicPr preferRelativeResize="0"/>
      </xdr:nvPicPr>
      <xdr:blipFill>
        <a:blip cstate="print" r:embed="rId93"/>
        <a:stretch>
          <a:fillRect/>
        </a:stretch>
      </xdr:blipFill>
      <xdr:spPr>
        <a:prstGeom prst="rect">
          <a:avLst/>
        </a:prstGeom>
        <a:noFill/>
      </xdr:spPr>
    </xdr:pic>
    <xdr:clientData fLocksWithSheet="0"/>
  </xdr:oneCellAnchor>
  <xdr:oneCellAnchor>
    <xdr:from>
      <xdr:col>0</xdr:col>
      <xdr:colOff>0</xdr:colOff>
      <xdr:row>95</xdr:row>
      <xdr:rowOff>0</xdr:rowOff>
    </xdr:from>
    <xdr:ext cx="314325" cy="314325"/>
    <xdr:pic>
      <xdr:nvPicPr>
        <xdr:cNvPr id="0" name="image97.png"/>
        <xdr:cNvPicPr preferRelativeResize="0"/>
      </xdr:nvPicPr>
      <xdr:blipFill>
        <a:blip cstate="print" r:embed="rId94"/>
        <a:stretch>
          <a:fillRect/>
        </a:stretch>
      </xdr:blipFill>
      <xdr:spPr>
        <a:prstGeom prst="rect">
          <a:avLst/>
        </a:prstGeom>
        <a:noFill/>
      </xdr:spPr>
    </xdr:pic>
    <xdr:clientData fLocksWithSheet="0"/>
  </xdr:oneCellAnchor>
  <xdr:oneCellAnchor>
    <xdr:from>
      <xdr:col>0</xdr:col>
      <xdr:colOff>0</xdr:colOff>
      <xdr:row>96</xdr:row>
      <xdr:rowOff>0</xdr:rowOff>
    </xdr:from>
    <xdr:ext cx="314325" cy="314325"/>
    <xdr:pic>
      <xdr:nvPicPr>
        <xdr:cNvPr id="0" name="image85.png"/>
        <xdr:cNvPicPr preferRelativeResize="0"/>
      </xdr:nvPicPr>
      <xdr:blipFill>
        <a:blip cstate="print" r:embed="rId95"/>
        <a:stretch>
          <a:fillRect/>
        </a:stretch>
      </xdr:blipFill>
      <xdr:spPr>
        <a:prstGeom prst="rect">
          <a:avLst/>
        </a:prstGeom>
        <a:noFill/>
      </xdr:spPr>
    </xdr:pic>
    <xdr:clientData fLocksWithSheet="0"/>
  </xdr:oneCellAnchor>
  <xdr:oneCellAnchor>
    <xdr:from>
      <xdr:col>0</xdr:col>
      <xdr:colOff>0</xdr:colOff>
      <xdr:row>97</xdr:row>
      <xdr:rowOff>0</xdr:rowOff>
    </xdr:from>
    <xdr:ext cx="314325" cy="314325"/>
    <xdr:pic>
      <xdr:nvPicPr>
        <xdr:cNvPr id="0" name="image88.png"/>
        <xdr:cNvPicPr preferRelativeResize="0"/>
      </xdr:nvPicPr>
      <xdr:blipFill>
        <a:blip cstate="print" r:embed="rId96"/>
        <a:stretch>
          <a:fillRect/>
        </a:stretch>
      </xdr:blipFill>
      <xdr:spPr>
        <a:prstGeom prst="rect">
          <a:avLst/>
        </a:prstGeom>
        <a:noFill/>
      </xdr:spPr>
    </xdr:pic>
    <xdr:clientData fLocksWithSheet="0"/>
  </xdr:oneCellAnchor>
  <xdr:oneCellAnchor>
    <xdr:from>
      <xdr:col>0</xdr:col>
      <xdr:colOff>0</xdr:colOff>
      <xdr:row>98</xdr:row>
      <xdr:rowOff>0</xdr:rowOff>
    </xdr:from>
    <xdr:ext cx="314325" cy="314325"/>
    <xdr:pic>
      <xdr:nvPicPr>
        <xdr:cNvPr id="0" name="image126.png"/>
        <xdr:cNvPicPr preferRelativeResize="0"/>
      </xdr:nvPicPr>
      <xdr:blipFill>
        <a:blip cstate="print" r:embed="rId97"/>
        <a:stretch>
          <a:fillRect/>
        </a:stretch>
      </xdr:blipFill>
      <xdr:spPr>
        <a:prstGeom prst="rect">
          <a:avLst/>
        </a:prstGeom>
        <a:noFill/>
      </xdr:spPr>
    </xdr:pic>
    <xdr:clientData fLocksWithSheet="0"/>
  </xdr:oneCellAnchor>
  <xdr:oneCellAnchor>
    <xdr:from>
      <xdr:col>0</xdr:col>
      <xdr:colOff>0</xdr:colOff>
      <xdr:row>99</xdr:row>
      <xdr:rowOff>0</xdr:rowOff>
    </xdr:from>
    <xdr:ext cx="314325" cy="314325"/>
    <xdr:pic>
      <xdr:nvPicPr>
        <xdr:cNvPr id="0" name="image93.png"/>
        <xdr:cNvPicPr preferRelativeResize="0"/>
      </xdr:nvPicPr>
      <xdr:blipFill>
        <a:blip cstate="print" r:embed="rId98"/>
        <a:stretch>
          <a:fillRect/>
        </a:stretch>
      </xdr:blipFill>
      <xdr:spPr>
        <a:prstGeom prst="rect">
          <a:avLst/>
        </a:prstGeom>
        <a:noFill/>
      </xdr:spPr>
    </xdr:pic>
    <xdr:clientData fLocksWithSheet="0"/>
  </xdr:oneCellAnchor>
  <xdr:oneCellAnchor>
    <xdr:from>
      <xdr:col>0</xdr:col>
      <xdr:colOff>0</xdr:colOff>
      <xdr:row>100</xdr:row>
      <xdr:rowOff>0</xdr:rowOff>
    </xdr:from>
    <xdr:ext cx="314325" cy="314325"/>
    <xdr:pic>
      <xdr:nvPicPr>
        <xdr:cNvPr id="0" name="image101.png"/>
        <xdr:cNvPicPr preferRelativeResize="0"/>
      </xdr:nvPicPr>
      <xdr:blipFill>
        <a:blip cstate="print" r:embed="rId99"/>
        <a:stretch>
          <a:fillRect/>
        </a:stretch>
      </xdr:blipFill>
      <xdr:spPr>
        <a:prstGeom prst="rect">
          <a:avLst/>
        </a:prstGeom>
        <a:noFill/>
      </xdr:spPr>
    </xdr:pic>
    <xdr:clientData fLocksWithSheet="0"/>
  </xdr:oneCellAnchor>
  <xdr:oneCellAnchor>
    <xdr:from>
      <xdr:col>0</xdr:col>
      <xdr:colOff>0</xdr:colOff>
      <xdr:row>101</xdr:row>
      <xdr:rowOff>0</xdr:rowOff>
    </xdr:from>
    <xdr:ext cx="314325" cy="314325"/>
    <xdr:pic>
      <xdr:nvPicPr>
        <xdr:cNvPr id="0" name="image125.png"/>
        <xdr:cNvPicPr preferRelativeResize="0"/>
      </xdr:nvPicPr>
      <xdr:blipFill>
        <a:blip cstate="print" r:embed="rId100"/>
        <a:stretch>
          <a:fillRect/>
        </a:stretch>
      </xdr:blipFill>
      <xdr:spPr>
        <a:prstGeom prst="rect">
          <a:avLst/>
        </a:prstGeom>
        <a:noFill/>
      </xdr:spPr>
    </xdr:pic>
    <xdr:clientData fLocksWithSheet="0"/>
  </xdr:oneCellAnchor>
  <xdr:oneCellAnchor>
    <xdr:from>
      <xdr:col>0</xdr:col>
      <xdr:colOff>0</xdr:colOff>
      <xdr:row>102</xdr:row>
      <xdr:rowOff>0</xdr:rowOff>
    </xdr:from>
    <xdr:ext cx="314325" cy="314325"/>
    <xdr:pic>
      <xdr:nvPicPr>
        <xdr:cNvPr id="0" name="image90.png"/>
        <xdr:cNvPicPr preferRelativeResize="0"/>
      </xdr:nvPicPr>
      <xdr:blipFill>
        <a:blip cstate="print" r:embed="rId101"/>
        <a:stretch>
          <a:fillRect/>
        </a:stretch>
      </xdr:blipFill>
      <xdr:spPr>
        <a:prstGeom prst="rect">
          <a:avLst/>
        </a:prstGeom>
        <a:noFill/>
      </xdr:spPr>
    </xdr:pic>
    <xdr:clientData fLocksWithSheet="0"/>
  </xdr:oneCellAnchor>
  <xdr:oneCellAnchor>
    <xdr:from>
      <xdr:col>0</xdr:col>
      <xdr:colOff>0</xdr:colOff>
      <xdr:row>103</xdr:row>
      <xdr:rowOff>0</xdr:rowOff>
    </xdr:from>
    <xdr:ext cx="314325" cy="314325"/>
    <xdr:pic>
      <xdr:nvPicPr>
        <xdr:cNvPr id="0" name="image96.png"/>
        <xdr:cNvPicPr preferRelativeResize="0"/>
      </xdr:nvPicPr>
      <xdr:blipFill>
        <a:blip cstate="print" r:embed="rId102"/>
        <a:stretch>
          <a:fillRect/>
        </a:stretch>
      </xdr:blipFill>
      <xdr:spPr>
        <a:prstGeom prst="rect">
          <a:avLst/>
        </a:prstGeom>
        <a:noFill/>
      </xdr:spPr>
    </xdr:pic>
    <xdr:clientData fLocksWithSheet="0"/>
  </xdr:oneCellAnchor>
  <xdr:oneCellAnchor>
    <xdr:from>
      <xdr:col>0</xdr:col>
      <xdr:colOff>0</xdr:colOff>
      <xdr:row>104</xdr:row>
      <xdr:rowOff>0</xdr:rowOff>
    </xdr:from>
    <xdr:ext cx="314325" cy="314325"/>
    <xdr:pic>
      <xdr:nvPicPr>
        <xdr:cNvPr id="0" name="image180.png"/>
        <xdr:cNvPicPr preferRelativeResize="0"/>
      </xdr:nvPicPr>
      <xdr:blipFill>
        <a:blip cstate="print" r:embed="rId103"/>
        <a:stretch>
          <a:fillRect/>
        </a:stretch>
      </xdr:blipFill>
      <xdr:spPr>
        <a:prstGeom prst="rect">
          <a:avLst/>
        </a:prstGeom>
        <a:noFill/>
      </xdr:spPr>
    </xdr:pic>
    <xdr:clientData fLocksWithSheet="0"/>
  </xdr:oneCellAnchor>
  <xdr:oneCellAnchor>
    <xdr:from>
      <xdr:col>0</xdr:col>
      <xdr:colOff>0</xdr:colOff>
      <xdr:row>105</xdr:row>
      <xdr:rowOff>0</xdr:rowOff>
    </xdr:from>
    <xdr:ext cx="314325" cy="314325"/>
    <xdr:pic>
      <xdr:nvPicPr>
        <xdr:cNvPr id="0" name="image108.png"/>
        <xdr:cNvPicPr preferRelativeResize="0"/>
      </xdr:nvPicPr>
      <xdr:blipFill>
        <a:blip cstate="print" r:embed="rId104"/>
        <a:stretch>
          <a:fillRect/>
        </a:stretch>
      </xdr:blipFill>
      <xdr:spPr>
        <a:prstGeom prst="rect">
          <a:avLst/>
        </a:prstGeom>
        <a:noFill/>
      </xdr:spPr>
    </xdr:pic>
    <xdr:clientData fLocksWithSheet="0"/>
  </xdr:oneCellAnchor>
  <xdr:oneCellAnchor>
    <xdr:from>
      <xdr:col>0</xdr:col>
      <xdr:colOff>0</xdr:colOff>
      <xdr:row>106</xdr:row>
      <xdr:rowOff>0</xdr:rowOff>
    </xdr:from>
    <xdr:ext cx="314325" cy="314325"/>
    <xdr:pic>
      <xdr:nvPicPr>
        <xdr:cNvPr id="0" name="image115.png"/>
        <xdr:cNvPicPr preferRelativeResize="0"/>
      </xdr:nvPicPr>
      <xdr:blipFill>
        <a:blip cstate="print" r:embed="rId105"/>
        <a:stretch>
          <a:fillRect/>
        </a:stretch>
      </xdr:blipFill>
      <xdr:spPr>
        <a:prstGeom prst="rect">
          <a:avLst/>
        </a:prstGeom>
        <a:noFill/>
      </xdr:spPr>
    </xdr:pic>
    <xdr:clientData fLocksWithSheet="0"/>
  </xdr:oneCellAnchor>
  <xdr:oneCellAnchor>
    <xdr:from>
      <xdr:col>0</xdr:col>
      <xdr:colOff>0</xdr:colOff>
      <xdr:row>107</xdr:row>
      <xdr:rowOff>0</xdr:rowOff>
    </xdr:from>
    <xdr:ext cx="314325" cy="314325"/>
    <xdr:pic>
      <xdr:nvPicPr>
        <xdr:cNvPr id="0" name="image98.png"/>
        <xdr:cNvPicPr preferRelativeResize="0"/>
      </xdr:nvPicPr>
      <xdr:blipFill>
        <a:blip cstate="print" r:embed="rId106"/>
        <a:stretch>
          <a:fillRect/>
        </a:stretch>
      </xdr:blipFill>
      <xdr:spPr>
        <a:prstGeom prst="rect">
          <a:avLst/>
        </a:prstGeom>
        <a:noFill/>
      </xdr:spPr>
    </xdr:pic>
    <xdr:clientData fLocksWithSheet="0"/>
  </xdr:oneCellAnchor>
  <xdr:oneCellAnchor>
    <xdr:from>
      <xdr:col>0</xdr:col>
      <xdr:colOff>0</xdr:colOff>
      <xdr:row>108</xdr:row>
      <xdr:rowOff>0</xdr:rowOff>
    </xdr:from>
    <xdr:ext cx="314325" cy="314325"/>
    <xdr:pic>
      <xdr:nvPicPr>
        <xdr:cNvPr id="0" name="image99.png"/>
        <xdr:cNvPicPr preferRelativeResize="0"/>
      </xdr:nvPicPr>
      <xdr:blipFill>
        <a:blip cstate="print" r:embed="rId107"/>
        <a:stretch>
          <a:fillRect/>
        </a:stretch>
      </xdr:blipFill>
      <xdr:spPr>
        <a:prstGeom prst="rect">
          <a:avLst/>
        </a:prstGeom>
        <a:noFill/>
      </xdr:spPr>
    </xdr:pic>
    <xdr:clientData fLocksWithSheet="0"/>
  </xdr:oneCellAnchor>
  <xdr:oneCellAnchor>
    <xdr:from>
      <xdr:col>0</xdr:col>
      <xdr:colOff>0</xdr:colOff>
      <xdr:row>109</xdr:row>
      <xdr:rowOff>0</xdr:rowOff>
    </xdr:from>
    <xdr:ext cx="314325" cy="314325"/>
    <xdr:pic>
      <xdr:nvPicPr>
        <xdr:cNvPr id="0" name="image100.png"/>
        <xdr:cNvPicPr preferRelativeResize="0"/>
      </xdr:nvPicPr>
      <xdr:blipFill>
        <a:blip cstate="print" r:embed="rId108"/>
        <a:stretch>
          <a:fillRect/>
        </a:stretch>
      </xdr:blipFill>
      <xdr:spPr>
        <a:prstGeom prst="rect">
          <a:avLst/>
        </a:prstGeom>
        <a:noFill/>
      </xdr:spPr>
    </xdr:pic>
    <xdr:clientData fLocksWithSheet="0"/>
  </xdr:oneCellAnchor>
  <xdr:oneCellAnchor>
    <xdr:from>
      <xdr:col>0</xdr:col>
      <xdr:colOff>0</xdr:colOff>
      <xdr:row>110</xdr:row>
      <xdr:rowOff>0</xdr:rowOff>
    </xdr:from>
    <xdr:ext cx="314325" cy="314325"/>
    <xdr:pic>
      <xdr:nvPicPr>
        <xdr:cNvPr id="0" name="image104.png"/>
        <xdr:cNvPicPr preferRelativeResize="0"/>
      </xdr:nvPicPr>
      <xdr:blipFill>
        <a:blip cstate="print" r:embed="rId109"/>
        <a:stretch>
          <a:fillRect/>
        </a:stretch>
      </xdr:blipFill>
      <xdr:spPr>
        <a:prstGeom prst="rect">
          <a:avLst/>
        </a:prstGeom>
        <a:noFill/>
      </xdr:spPr>
    </xdr:pic>
    <xdr:clientData fLocksWithSheet="0"/>
  </xdr:oneCellAnchor>
  <xdr:oneCellAnchor>
    <xdr:from>
      <xdr:col>0</xdr:col>
      <xdr:colOff>0</xdr:colOff>
      <xdr:row>111</xdr:row>
      <xdr:rowOff>0</xdr:rowOff>
    </xdr:from>
    <xdr:ext cx="314325" cy="314325"/>
    <xdr:pic>
      <xdr:nvPicPr>
        <xdr:cNvPr id="0" name="image102.png"/>
        <xdr:cNvPicPr preferRelativeResize="0"/>
      </xdr:nvPicPr>
      <xdr:blipFill>
        <a:blip cstate="print" r:embed="rId110"/>
        <a:stretch>
          <a:fillRect/>
        </a:stretch>
      </xdr:blipFill>
      <xdr:spPr>
        <a:prstGeom prst="rect">
          <a:avLst/>
        </a:prstGeom>
        <a:noFill/>
      </xdr:spPr>
    </xdr:pic>
    <xdr:clientData fLocksWithSheet="0"/>
  </xdr:oneCellAnchor>
  <xdr:oneCellAnchor>
    <xdr:from>
      <xdr:col>0</xdr:col>
      <xdr:colOff>0</xdr:colOff>
      <xdr:row>112</xdr:row>
      <xdr:rowOff>0</xdr:rowOff>
    </xdr:from>
    <xdr:ext cx="314325" cy="314325"/>
    <xdr:pic>
      <xdr:nvPicPr>
        <xdr:cNvPr id="0" name="image103.png"/>
        <xdr:cNvPicPr preferRelativeResize="0"/>
      </xdr:nvPicPr>
      <xdr:blipFill>
        <a:blip cstate="print" r:embed="rId111"/>
        <a:stretch>
          <a:fillRect/>
        </a:stretch>
      </xdr:blipFill>
      <xdr:spPr>
        <a:prstGeom prst="rect">
          <a:avLst/>
        </a:prstGeom>
        <a:noFill/>
      </xdr:spPr>
    </xdr:pic>
    <xdr:clientData fLocksWithSheet="0"/>
  </xdr:oneCellAnchor>
  <xdr:oneCellAnchor>
    <xdr:from>
      <xdr:col>0</xdr:col>
      <xdr:colOff>0</xdr:colOff>
      <xdr:row>113</xdr:row>
      <xdr:rowOff>0</xdr:rowOff>
    </xdr:from>
    <xdr:ext cx="314325" cy="314325"/>
    <xdr:pic>
      <xdr:nvPicPr>
        <xdr:cNvPr id="0" name="image128.png"/>
        <xdr:cNvPicPr preferRelativeResize="0"/>
      </xdr:nvPicPr>
      <xdr:blipFill>
        <a:blip cstate="print" r:embed="rId112"/>
        <a:stretch>
          <a:fillRect/>
        </a:stretch>
      </xdr:blipFill>
      <xdr:spPr>
        <a:prstGeom prst="rect">
          <a:avLst/>
        </a:prstGeom>
        <a:noFill/>
      </xdr:spPr>
    </xdr:pic>
    <xdr:clientData fLocksWithSheet="0"/>
  </xdr:oneCellAnchor>
  <xdr:oneCellAnchor>
    <xdr:from>
      <xdr:col>0</xdr:col>
      <xdr:colOff>0</xdr:colOff>
      <xdr:row>114</xdr:row>
      <xdr:rowOff>0</xdr:rowOff>
    </xdr:from>
    <xdr:ext cx="314325" cy="314325"/>
    <xdr:pic>
      <xdr:nvPicPr>
        <xdr:cNvPr id="0" name="image127.png"/>
        <xdr:cNvPicPr preferRelativeResize="0"/>
      </xdr:nvPicPr>
      <xdr:blipFill>
        <a:blip cstate="print" r:embed="rId113"/>
        <a:stretch>
          <a:fillRect/>
        </a:stretch>
      </xdr:blipFill>
      <xdr:spPr>
        <a:prstGeom prst="rect">
          <a:avLst/>
        </a:prstGeom>
        <a:noFill/>
      </xdr:spPr>
    </xdr:pic>
    <xdr:clientData fLocksWithSheet="0"/>
  </xdr:oneCellAnchor>
  <xdr:oneCellAnchor>
    <xdr:from>
      <xdr:col>0</xdr:col>
      <xdr:colOff>0</xdr:colOff>
      <xdr:row>115</xdr:row>
      <xdr:rowOff>0</xdr:rowOff>
    </xdr:from>
    <xdr:ext cx="314325" cy="314325"/>
    <xdr:pic>
      <xdr:nvPicPr>
        <xdr:cNvPr id="0" name="image113.png"/>
        <xdr:cNvPicPr preferRelativeResize="0"/>
      </xdr:nvPicPr>
      <xdr:blipFill>
        <a:blip cstate="print" r:embed="rId114"/>
        <a:stretch>
          <a:fillRect/>
        </a:stretch>
      </xdr:blipFill>
      <xdr:spPr>
        <a:prstGeom prst="rect">
          <a:avLst/>
        </a:prstGeom>
        <a:noFill/>
      </xdr:spPr>
    </xdr:pic>
    <xdr:clientData fLocksWithSheet="0"/>
  </xdr:oneCellAnchor>
  <xdr:oneCellAnchor>
    <xdr:from>
      <xdr:col>0</xdr:col>
      <xdr:colOff>0</xdr:colOff>
      <xdr:row>116</xdr:row>
      <xdr:rowOff>0</xdr:rowOff>
    </xdr:from>
    <xdr:ext cx="314325" cy="314325"/>
    <xdr:pic>
      <xdr:nvPicPr>
        <xdr:cNvPr id="0" name="image191.png"/>
        <xdr:cNvPicPr preferRelativeResize="0"/>
      </xdr:nvPicPr>
      <xdr:blipFill>
        <a:blip cstate="print" r:embed="rId115"/>
        <a:stretch>
          <a:fillRect/>
        </a:stretch>
      </xdr:blipFill>
      <xdr:spPr>
        <a:prstGeom prst="rect">
          <a:avLst/>
        </a:prstGeom>
        <a:noFill/>
      </xdr:spPr>
    </xdr:pic>
    <xdr:clientData fLocksWithSheet="0"/>
  </xdr:oneCellAnchor>
  <xdr:oneCellAnchor>
    <xdr:from>
      <xdr:col>0</xdr:col>
      <xdr:colOff>0</xdr:colOff>
      <xdr:row>117</xdr:row>
      <xdr:rowOff>0</xdr:rowOff>
    </xdr:from>
    <xdr:ext cx="314325" cy="314325"/>
    <xdr:pic>
      <xdr:nvPicPr>
        <xdr:cNvPr id="0" name="image107.png"/>
        <xdr:cNvPicPr preferRelativeResize="0"/>
      </xdr:nvPicPr>
      <xdr:blipFill>
        <a:blip cstate="print" r:embed="rId116"/>
        <a:stretch>
          <a:fillRect/>
        </a:stretch>
      </xdr:blipFill>
      <xdr:spPr>
        <a:prstGeom prst="rect">
          <a:avLst/>
        </a:prstGeom>
        <a:noFill/>
      </xdr:spPr>
    </xdr:pic>
    <xdr:clientData fLocksWithSheet="0"/>
  </xdr:oneCellAnchor>
  <xdr:oneCellAnchor>
    <xdr:from>
      <xdr:col>0</xdr:col>
      <xdr:colOff>0</xdr:colOff>
      <xdr:row>118</xdr:row>
      <xdr:rowOff>0</xdr:rowOff>
    </xdr:from>
    <xdr:ext cx="314325" cy="314325"/>
    <xdr:pic>
      <xdr:nvPicPr>
        <xdr:cNvPr id="0" name="image106.png"/>
        <xdr:cNvPicPr preferRelativeResize="0"/>
      </xdr:nvPicPr>
      <xdr:blipFill>
        <a:blip cstate="print" r:embed="rId117"/>
        <a:stretch>
          <a:fillRect/>
        </a:stretch>
      </xdr:blipFill>
      <xdr:spPr>
        <a:prstGeom prst="rect">
          <a:avLst/>
        </a:prstGeom>
        <a:noFill/>
      </xdr:spPr>
    </xdr:pic>
    <xdr:clientData fLocksWithSheet="0"/>
  </xdr:oneCellAnchor>
  <xdr:oneCellAnchor>
    <xdr:from>
      <xdr:col>0</xdr:col>
      <xdr:colOff>0</xdr:colOff>
      <xdr:row>119</xdr:row>
      <xdr:rowOff>0</xdr:rowOff>
    </xdr:from>
    <xdr:ext cx="314325" cy="314325"/>
    <xdr:pic>
      <xdr:nvPicPr>
        <xdr:cNvPr id="0" name="image105.png"/>
        <xdr:cNvPicPr preferRelativeResize="0"/>
      </xdr:nvPicPr>
      <xdr:blipFill>
        <a:blip cstate="print" r:embed="rId118"/>
        <a:stretch>
          <a:fillRect/>
        </a:stretch>
      </xdr:blipFill>
      <xdr:spPr>
        <a:prstGeom prst="rect">
          <a:avLst/>
        </a:prstGeom>
        <a:noFill/>
      </xdr:spPr>
    </xdr:pic>
    <xdr:clientData fLocksWithSheet="0"/>
  </xdr:oneCellAnchor>
  <xdr:oneCellAnchor>
    <xdr:from>
      <xdr:col>0</xdr:col>
      <xdr:colOff>0</xdr:colOff>
      <xdr:row>120</xdr:row>
      <xdr:rowOff>0</xdr:rowOff>
    </xdr:from>
    <xdr:ext cx="314325" cy="314325"/>
    <xdr:pic>
      <xdr:nvPicPr>
        <xdr:cNvPr id="0" name="image110.png"/>
        <xdr:cNvPicPr preferRelativeResize="0"/>
      </xdr:nvPicPr>
      <xdr:blipFill>
        <a:blip cstate="print" r:embed="rId119"/>
        <a:stretch>
          <a:fillRect/>
        </a:stretch>
      </xdr:blipFill>
      <xdr:spPr>
        <a:prstGeom prst="rect">
          <a:avLst/>
        </a:prstGeom>
        <a:noFill/>
      </xdr:spPr>
    </xdr:pic>
    <xdr:clientData fLocksWithSheet="0"/>
  </xdr:oneCellAnchor>
  <xdr:oneCellAnchor>
    <xdr:from>
      <xdr:col>0</xdr:col>
      <xdr:colOff>0</xdr:colOff>
      <xdr:row>121</xdr:row>
      <xdr:rowOff>0</xdr:rowOff>
    </xdr:from>
    <xdr:ext cx="314325" cy="314325"/>
    <xdr:pic>
      <xdr:nvPicPr>
        <xdr:cNvPr id="0" name="image212.png"/>
        <xdr:cNvPicPr preferRelativeResize="0"/>
      </xdr:nvPicPr>
      <xdr:blipFill>
        <a:blip cstate="print" r:embed="rId120"/>
        <a:stretch>
          <a:fillRect/>
        </a:stretch>
      </xdr:blipFill>
      <xdr:spPr>
        <a:prstGeom prst="rect">
          <a:avLst/>
        </a:prstGeom>
        <a:noFill/>
      </xdr:spPr>
    </xdr:pic>
    <xdr:clientData fLocksWithSheet="0"/>
  </xdr:oneCellAnchor>
  <xdr:oneCellAnchor>
    <xdr:from>
      <xdr:col>0</xdr:col>
      <xdr:colOff>0</xdr:colOff>
      <xdr:row>122</xdr:row>
      <xdr:rowOff>0</xdr:rowOff>
    </xdr:from>
    <xdr:ext cx="314325" cy="314325"/>
    <xdr:pic>
      <xdr:nvPicPr>
        <xdr:cNvPr id="0" name="image117.png"/>
        <xdr:cNvPicPr preferRelativeResize="0"/>
      </xdr:nvPicPr>
      <xdr:blipFill>
        <a:blip cstate="print" r:embed="rId121"/>
        <a:stretch>
          <a:fillRect/>
        </a:stretch>
      </xdr:blipFill>
      <xdr:spPr>
        <a:prstGeom prst="rect">
          <a:avLst/>
        </a:prstGeom>
        <a:noFill/>
      </xdr:spPr>
    </xdr:pic>
    <xdr:clientData fLocksWithSheet="0"/>
  </xdr:oneCellAnchor>
  <xdr:oneCellAnchor>
    <xdr:from>
      <xdr:col>0</xdr:col>
      <xdr:colOff>0</xdr:colOff>
      <xdr:row>123</xdr:row>
      <xdr:rowOff>0</xdr:rowOff>
    </xdr:from>
    <xdr:ext cx="314325" cy="314325"/>
    <xdr:pic>
      <xdr:nvPicPr>
        <xdr:cNvPr id="0" name="image124.png"/>
        <xdr:cNvPicPr preferRelativeResize="0"/>
      </xdr:nvPicPr>
      <xdr:blipFill>
        <a:blip cstate="print" r:embed="rId122"/>
        <a:stretch>
          <a:fillRect/>
        </a:stretch>
      </xdr:blipFill>
      <xdr:spPr>
        <a:prstGeom prst="rect">
          <a:avLst/>
        </a:prstGeom>
        <a:noFill/>
      </xdr:spPr>
    </xdr:pic>
    <xdr:clientData fLocksWithSheet="0"/>
  </xdr:oneCellAnchor>
  <xdr:oneCellAnchor>
    <xdr:from>
      <xdr:col>0</xdr:col>
      <xdr:colOff>0</xdr:colOff>
      <xdr:row>124</xdr:row>
      <xdr:rowOff>0</xdr:rowOff>
    </xdr:from>
    <xdr:ext cx="314325" cy="314325"/>
    <xdr:pic>
      <xdr:nvPicPr>
        <xdr:cNvPr id="0" name="image114.png"/>
        <xdr:cNvPicPr preferRelativeResize="0"/>
      </xdr:nvPicPr>
      <xdr:blipFill>
        <a:blip cstate="print" r:embed="rId123"/>
        <a:stretch>
          <a:fillRect/>
        </a:stretch>
      </xdr:blipFill>
      <xdr:spPr>
        <a:prstGeom prst="rect">
          <a:avLst/>
        </a:prstGeom>
        <a:noFill/>
      </xdr:spPr>
    </xdr:pic>
    <xdr:clientData fLocksWithSheet="0"/>
  </xdr:oneCellAnchor>
  <xdr:oneCellAnchor>
    <xdr:from>
      <xdr:col>0</xdr:col>
      <xdr:colOff>0</xdr:colOff>
      <xdr:row>125</xdr:row>
      <xdr:rowOff>0</xdr:rowOff>
    </xdr:from>
    <xdr:ext cx="314325" cy="314325"/>
    <xdr:pic>
      <xdr:nvPicPr>
        <xdr:cNvPr id="0" name="image120.png"/>
        <xdr:cNvPicPr preferRelativeResize="0"/>
      </xdr:nvPicPr>
      <xdr:blipFill>
        <a:blip cstate="print" r:embed="rId124"/>
        <a:stretch>
          <a:fillRect/>
        </a:stretch>
      </xdr:blipFill>
      <xdr:spPr>
        <a:prstGeom prst="rect">
          <a:avLst/>
        </a:prstGeom>
        <a:noFill/>
      </xdr:spPr>
    </xdr:pic>
    <xdr:clientData fLocksWithSheet="0"/>
  </xdr:oneCellAnchor>
  <xdr:oneCellAnchor>
    <xdr:from>
      <xdr:col>0</xdr:col>
      <xdr:colOff>0</xdr:colOff>
      <xdr:row>126</xdr:row>
      <xdr:rowOff>0</xdr:rowOff>
    </xdr:from>
    <xdr:ext cx="314325" cy="314325"/>
    <xdr:pic>
      <xdr:nvPicPr>
        <xdr:cNvPr id="0" name="image111.png"/>
        <xdr:cNvPicPr preferRelativeResize="0"/>
      </xdr:nvPicPr>
      <xdr:blipFill>
        <a:blip cstate="print" r:embed="rId125"/>
        <a:stretch>
          <a:fillRect/>
        </a:stretch>
      </xdr:blipFill>
      <xdr:spPr>
        <a:prstGeom prst="rect">
          <a:avLst/>
        </a:prstGeom>
        <a:noFill/>
      </xdr:spPr>
    </xdr:pic>
    <xdr:clientData fLocksWithSheet="0"/>
  </xdr:oneCellAnchor>
  <xdr:oneCellAnchor>
    <xdr:from>
      <xdr:col>0</xdr:col>
      <xdr:colOff>0</xdr:colOff>
      <xdr:row>127</xdr:row>
      <xdr:rowOff>0</xdr:rowOff>
    </xdr:from>
    <xdr:ext cx="314325" cy="314325"/>
    <xdr:pic>
      <xdr:nvPicPr>
        <xdr:cNvPr id="0" name="image112.png"/>
        <xdr:cNvPicPr preferRelativeResize="0"/>
      </xdr:nvPicPr>
      <xdr:blipFill>
        <a:blip cstate="print" r:embed="rId126"/>
        <a:stretch>
          <a:fillRect/>
        </a:stretch>
      </xdr:blipFill>
      <xdr:spPr>
        <a:prstGeom prst="rect">
          <a:avLst/>
        </a:prstGeom>
        <a:noFill/>
      </xdr:spPr>
    </xdr:pic>
    <xdr:clientData fLocksWithSheet="0"/>
  </xdr:oneCellAnchor>
  <xdr:oneCellAnchor>
    <xdr:from>
      <xdr:col>0</xdr:col>
      <xdr:colOff>0</xdr:colOff>
      <xdr:row>128</xdr:row>
      <xdr:rowOff>0</xdr:rowOff>
    </xdr:from>
    <xdr:ext cx="314325" cy="314325"/>
    <xdr:pic>
      <xdr:nvPicPr>
        <xdr:cNvPr id="0" name="image162.png"/>
        <xdr:cNvPicPr preferRelativeResize="0"/>
      </xdr:nvPicPr>
      <xdr:blipFill>
        <a:blip cstate="print" r:embed="rId127"/>
        <a:stretch>
          <a:fillRect/>
        </a:stretch>
      </xdr:blipFill>
      <xdr:spPr>
        <a:prstGeom prst="rect">
          <a:avLst/>
        </a:prstGeom>
        <a:noFill/>
      </xdr:spPr>
    </xdr:pic>
    <xdr:clientData fLocksWithSheet="0"/>
  </xdr:oneCellAnchor>
  <xdr:oneCellAnchor>
    <xdr:from>
      <xdr:col>0</xdr:col>
      <xdr:colOff>0</xdr:colOff>
      <xdr:row>129</xdr:row>
      <xdr:rowOff>0</xdr:rowOff>
    </xdr:from>
    <xdr:ext cx="314325" cy="314325"/>
    <xdr:pic>
      <xdr:nvPicPr>
        <xdr:cNvPr id="0" name="image139.png"/>
        <xdr:cNvPicPr preferRelativeResize="0"/>
      </xdr:nvPicPr>
      <xdr:blipFill>
        <a:blip cstate="print" r:embed="rId128"/>
        <a:stretch>
          <a:fillRect/>
        </a:stretch>
      </xdr:blipFill>
      <xdr:spPr>
        <a:prstGeom prst="rect">
          <a:avLst/>
        </a:prstGeom>
        <a:noFill/>
      </xdr:spPr>
    </xdr:pic>
    <xdr:clientData fLocksWithSheet="0"/>
  </xdr:oneCellAnchor>
  <xdr:oneCellAnchor>
    <xdr:from>
      <xdr:col>0</xdr:col>
      <xdr:colOff>0</xdr:colOff>
      <xdr:row>130</xdr:row>
      <xdr:rowOff>0</xdr:rowOff>
    </xdr:from>
    <xdr:ext cx="314325" cy="314325"/>
    <xdr:pic>
      <xdr:nvPicPr>
        <xdr:cNvPr id="0" name="image116.png"/>
        <xdr:cNvPicPr preferRelativeResize="0"/>
      </xdr:nvPicPr>
      <xdr:blipFill>
        <a:blip cstate="print" r:embed="rId129"/>
        <a:stretch>
          <a:fillRect/>
        </a:stretch>
      </xdr:blipFill>
      <xdr:spPr>
        <a:prstGeom prst="rect">
          <a:avLst/>
        </a:prstGeom>
        <a:noFill/>
      </xdr:spPr>
    </xdr:pic>
    <xdr:clientData fLocksWithSheet="0"/>
  </xdr:oneCellAnchor>
  <xdr:oneCellAnchor>
    <xdr:from>
      <xdr:col>0</xdr:col>
      <xdr:colOff>0</xdr:colOff>
      <xdr:row>131</xdr:row>
      <xdr:rowOff>0</xdr:rowOff>
    </xdr:from>
    <xdr:ext cx="314325" cy="314325"/>
    <xdr:pic>
      <xdr:nvPicPr>
        <xdr:cNvPr id="0" name="image157.png"/>
        <xdr:cNvPicPr preferRelativeResize="0"/>
      </xdr:nvPicPr>
      <xdr:blipFill>
        <a:blip cstate="print" r:embed="rId130"/>
        <a:stretch>
          <a:fillRect/>
        </a:stretch>
      </xdr:blipFill>
      <xdr:spPr>
        <a:prstGeom prst="rect">
          <a:avLst/>
        </a:prstGeom>
        <a:noFill/>
      </xdr:spPr>
    </xdr:pic>
    <xdr:clientData fLocksWithSheet="0"/>
  </xdr:oneCellAnchor>
  <xdr:oneCellAnchor>
    <xdr:from>
      <xdr:col>0</xdr:col>
      <xdr:colOff>0</xdr:colOff>
      <xdr:row>132</xdr:row>
      <xdr:rowOff>0</xdr:rowOff>
    </xdr:from>
    <xdr:ext cx="314325" cy="314325"/>
    <xdr:pic>
      <xdr:nvPicPr>
        <xdr:cNvPr id="0" name="image119.png"/>
        <xdr:cNvPicPr preferRelativeResize="0"/>
      </xdr:nvPicPr>
      <xdr:blipFill>
        <a:blip cstate="print" r:embed="rId131"/>
        <a:stretch>
          <a:fillRect/>
        </a:stretch>
      </xdr:blipFill>
      <xdr:spPr>
        <a:prstGeom prst="rect">
          <a:avLst/>
        </a:prstGeom>
        <a:noFill/>
      </xdr:spPr>
    </xdr:pic>
    <xdr:clientData fLocksWithSheet="0"/>
  </xdr:oneCellAnchor>
  <xdr:oneCellAnchor>
    <xdr:from>
      <xdr:col>0</xdr:col>
      <xdr:colOff>0</xdr:colOff>
      <xdr:row>133</xdr:row>
      <xdr:rowOff>0</xdr:rowOff>
    </xdr:from>
    <xdr:ext cx="314325" cy="314325"/>
    <xdr:pic>
      <xdr:nvPicPr>
        <xdr:cNvPr id="0" name="image118.png"/>
        <xdr:cNvPicPr preferRelativeResize="0"/>
      </xdr:nvPicPr>
      <xdr:blipFill>
        <a:blip cstate="print" r:embed="rId132"/>
        <a:stretch>
          <a:fillRect/>
        </a:stretch>
      </xdr:blipFill>
      <xdr:spPr>
        <a:prstGeom prst="rect">
          <a:avLst/>
        </a:prstGeom>
        <a:noFill/>
      </xdr:spPr>
    </xdr:pic>
    <xdr:clientData fLocksWithSheet="0"/>
  </xdr:oneCellAnchor>
  <xdr:oneCellAnchor>
    <xdr:from>
      <xdr:col>0</xdr:col>
      <xdr:colOff>0</xdr:colOff>
      <xdr:row>134</xdr:row>
      <xdr:rowOff>0</xdr:rowOff>
    </xdr:from>
    <xdr:ext cx="314325" cy="314325"/>
    <xdr:pic>
      <xdr:nvPicPr>
        <xdr:cNvPr id="0" name="image121.png"/>
        <xdr:cNvPicPr preferRelativeResize="0"/>
      </xdr:nvPicPr>
      <xdr:blipFill>
        <a:blip cstate="print" r:embed="rId133"/>
        <a:stretch>
          <a:fillRect/>
        </a:stretch>
      </xdr:blipFill>
      <xdr:spPr>
        <a:prstGeom prst="rect">
          <a:avLst/>
        </a:prstGeom>
        <a:noFill/>
      </xdr:spPr>
    </xdr:pic>
    <xdr:clientData fLocksWithSheet="0"/>
  </xdr:oneCellAnchor>
  <xdr:oneCellAnchor>
    <xdr:from>
      <xdr:col>0</xdr:col>
      <xdr:colOff>0</xdr:colOff>
      <xdr:row>135</xdr:row>
      <xdr:rowOff>0</xdr:rowOff>
    </xdr:from>
    <xdr:ext cx="314325" cy="314325"/>
    <xdr:pic>
      <xdr:nvPicPr>
        <xdr:cNvPr id="0" name="image149.png"/>
        <xdr:cNvPicPr preferRelativeResize="0"/>
      </xdr:nvPicPr>
      <xdr:blipFill>
        <a:blip cstate="print" r:embed="rId134"/>
        <a:stretch>
          <a:fillRect/>
        </a:stretch>
      </xdr:blipFill>
      <xdr:spPr>
        <a:prstGeom prst="rect">
          <a:avLst/>
        </a:prstGeom>
        <a:noFill/>
      </xdr:spPr>
    </xdr:pic>
    <xdr:clientData fLocksWithSheet="0"/>
  </xdr:oneCellAnchor>
  <xdr:oneCellAnchor>
    <xdr:from>
      <xdr:col>0</xdr:col>
      <xdr:colOff>0</xdr:colOff>
      <xdr:row>136</xdr:row>
      <xdr:rowOff>0</xdr:rowOff>
    </xdr:from>
    <xdr:ext cx="314325" cy="314325"/>
    <xdr:pic>
      <xdr:nvPicPr>
        <xdr:cNvPr id="0" name="image174.png"/>
        <xdr:cNvPicPr preferRelativeResize="0"/>
      </xdr:nvPicPr>
      <xdr:blipFill>
        <a:blip cstate="print" r:embed="rId135"/>
        <a:stretch>
          <a:fillRect/>
        </a:stretch>
      </xdr:blipFill>
      <xdr:spPr>
        <a:prstGeom prst="rect">
          <a:avLst/>
        </a:prstGeom>
        <a:noFill/>
      </xdr:spPr>
    </xdr:pic>
    <xdr:clientData fLocksWithSheet="0"/>
  </xdr:oneCellAnchor>
  <xdr:oneCellAnchor>
    <xdr:from>
      <xdr:col>0</xdr:col>
      <xdr:colOff>0</xdr:colOff>
      <xdr:row>137</xdr:row>
      <xdr:rowOff>0</xdr:rowOff>
    </xdr:from>
    <xdr:ext cx="314325" cy="314325"/>
    <xdr:pic>
      <xdr:nvPicPr>
        <xdr:cNvPr id="0" name="image150.png"/>
        <xdr:cNvPicPr preferRelativeResize="0"/>
      </xdr:nvPicPr>
      <xdr:blipFill>
        <a:blip cstate="print" r:embed="rId136"/>
        <a:stretch>
          <a:fillRect/>
        </a:stretch>
      </xdr:blipFill>
      <xdr:spPr>
        <a:prstGeom prst="rect">
          <a:avLst/>
        </a:prstGeom>
        <a:noFill/>
      </xdr:spPr>
    </xdr:pic>
    <xdr:clientData fLocksWithSheet="0"/>
  </xdr:oneCellAnchor>
  <xdr:oneCellAnchor>
    <xdr:from>
      <xdr:col>0</xdr:col>
      <xdr:colOff>0</xdr:colOff>
      <xdr:row>138</xdr:row>
      <xdr:rowOff>0</xdr:rowOff>
    </xdr:from>
    <xdr:ext cx="314325" cy="314325"/>
    <xdr:pic>
      <xdr:nvPicPr>
        <xdr:cNvPr id="0" name="image140.png"/>
        <xdr:cNvPicPr preferRelativeResize="0"/>
      </xdr:nvPicPr>
      <xdr:blipFill>
        <a:blip cstate="print" r:embed="rId137"/>
        <a:stretch>
          <a:fillRect/>
        </a:stretch>
      </xdr:blipFill>
      <xdr:spPr>
        <a:prstGeom prst="rect">
          <a:avLst/>
        </a:prstGeom>
        <a:noFill/>
      </xdr:spPr>
    </xdr:pic>
    <xdr:clientData fLocksWithSheet="0"/>
  </xdr:oneCellAnchor>
  <xdr:oneCellAnchor>
    <xdr:from>
      <xdr:col>0</xdr:col>
      <xdr:colOff>0</xdr:colOff>
      <xdr:row>139</xdr:row>
      <xdr:rowOff>0</xdr:rowOff>
    </xdr:from>
    <xdr:ext cx="314325" cy="314325"/>
    <xdr:pic>
      <xdr:nvPicPr>
        <xdr:cNvPr id="0" name="image137.png"/>
        <xdr:cNvPicPr preferRelativeResize="0"/>
      </xdr:nvPicPr>
      <xdr:blipFill>
        <a:blip cstate="print" r:embed="rId138"/>
        <a:stretch>
          <a:fillRect/>
        </a:stretch>
      </xdr:blipFill>
      <xdr:spPr>
        <a:prstGeom prst="rect">
          <a:avLst/>
        </a:prstGeom>
        <a:noFill/>
      </xdr:spPr>
    </xdr:pic>
    <xdr:clientData fLocksWithSheet="0"/>
  </xdr:oneCellAnchor>
</xdr:wsDr>
</file>

<file path=xl/drawings/drawing5.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6.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1</xdr:row>
      <xdr:rowOff>0</xdr:rowOff>
    </xdr:from>
    <xdr:ext cx="200025" cy="200025"/>
    <xdr:pic>
      <xdr:nvPicPr>
        <xdr:cNvPr id="0" name="image123.png"/>
        <xdr:cNvPicPr preferRelativeResize="0"/>
      </xdr:nvPicPr>
      <xdr:blipFill>
        <a:blip cstate="print" r:embed="rId1"/>
        <a:stretch>
          <a:fillRect/>
        </a:stretch>
      </xdr:blipFill>
      <xdr:spPr>
        <a:prstGeom prst="rect">
          <a:avLst/>
        </a:prstGeom>
        <a:noFill/>
      </xdr:spPr>
    </xdr:pic>
    <xdr:clientData fLocksWithSheet="0"/>
  </xdr:oneCellAnchor>
  <xdr:oneCellAnchor>
    <xdr:from>
      <xdr:col>0</xdr:col>
      <xdr:colOff>0</xdr:colOff>
      <xdr:row>2</xdr:row>
      <xdr:rowOff>0</xdr:rowOff>
    </xdr:from>
    <xdr:ext cx="200025" cy="200025"/>
    <xdr:pic>
      <xdr:nvPicPr>
        <xdr:cNvPr id="0" name="image122.png"/>
        <xdr:cNvPicPr preferRelativeResize="0"/>
      </xdr:nvPicPr>
      <xdr:blipFill>
        <a:blip cstate="print" r:embed="rId2"/>
        <a:stretch>
          <a:fillRect/>
        </a:stretch>
      </xdr:blipFill>
      <xdr:spPr>
        <a:prstGeom prst="rect">
          <a:avLst/>
        </a:prstGeom>
        <a:noFill/>
      </xdr:spPr>
    </xdr:pic>
    <xdr:clientData fLocksWithSheet="0"/>
  </xdr:oneCellAnchor>
  <xdr:oneCellAnchor>
    <xdr:from>
      <xdr:col>0</xdr:col>
      <xdr:colOff>0</xdr:colOff>
      <xdr:row>3</xdr:row>
      <xdr:rowOff>0</xdr:rowOff>
    </xdr:from>
    <xdr:ext cx="200025" cy="200025"/>
    <xdr:pic>
      <xdr:nvPicPr>
        <xdr:cNvPr id="0" name="image132.png"/>
        <xdr:cNvPicPr preferRelativeResize="0"/>
      </xdr:nvPicPr>
      <xdr:blipFill>
        <a:blip cstate="print" r:embed="rId3"/>
        <a:stretch>
          <a:fillRect/>
        </a:stretch>
      </xdr:blipFill>
      <xdr:spPr>
        <a:prstGeom prst="rect">
          <a:avLst/>
        </a:prstGeom>
        <a:noFill/>
      </xdr:spPr>
    </xdr:pic>
    <xdr:clientData fLocksWithSheet="0"/>
  </xdr:oneCellAnchor>
  <xdr:oneCellAnchor>
    <xdr:from>
      <xdr:col>0</xdr:col>
      <xdr:colOff>0</xdr:colOff>
      <xdr:row>4</xdr:row>
      <xdr:rowOff>0</xdr:rowOff>
    </xdr:from>
    <xdr:ext cx="200025" cy="200025"/>
    <xdr:pic>
      <xdr:nvPicPr>
        <xdr:cNvPr id="0" name="image131.png"/>
        <xdr:cNvPicPr preferRelativeResize="0"/>
      </xdr:nvPicPr>
      <xdr:blipFill>
        <a:blip cstate="print" r:embed="rId4"/>
        <a:stretch>
          <a:fillRect/>
        </a:stretch>
      </xdr:blipFill>
      <xdr:spPr>
        <a:prstGeom prst="rect">
          <a:avLst/>
        </a:prstGeom>
        <a:noFill/>
      </xdr:spPr>
    </xdr:pic>
    <xdr:clientData fLocksWithSheet="0"/>
  </xdr:oneCellAnchor>
  <xdr:oneCellAnchor>
    <xdr:from>
      <xdr:col>0</xdr:col>
      <xdr:colOff>0</xdr:colOff>
      <xdr:row>5</xdr:row>
      <xdr:rowOff>0</xdr:rowOff>
    </xdr:from>
    <xdr:ext cx="200025" cy="200025"/>
    <xdr:pic>
      <xdr:nvPicPr>
        <xdr:cNvPr id="0" name="image130.png"/>
        <xdr:cNvPicPr preferRelativeResize="0"/>
      </xdr:nvPicPr>
      <xdr:blipFill>
        <a:blip cstate="print" r:embed="rId5"/>
        <a:stretch>
          <a:fillRect/>
        </a:stretch>
      </xdr:blipFill>
      <xdr:spPr>
        <a:prstGeom prst="rect">
          <a:avLst/>
        </a:prstGeom>
        <a:noFill/>
      </xdr:spPr>
    </xdr:pic>
    <xdr:clientData fLocksWithSheet="0"/>
  </xdr:oneCellAnchor>
  <xdr:oneCellAnchor>
    <xdr:from>
      <xdr:col>0</xdr:col>
      <xdr:colOff>0</xdr:colOff>
      <xdr:row>6</xdr:row>
      <xdr:rowOff>0</xdr:rowOff>
    </xdr:from>
    <xdr:ext cx="200025" cy="200025"/>
    <xdr:pic>
      <xdr:nvPicPr>
        <xdr:cNvPr id="0" name="image129.png"/>
        <xdr:cNvPicPr preferRelativeResize="0"/>
      </xdr:nvPicPr>
      <xdr:blipFill>
        <a:blip cstate="print" r:embed="rId6"/>
        <a:stretch>
          <a:fillRect/>
        </a:stretch>
      </xdr:blipFill>
      <xdr:spPr>
        <a:prstGeom prst="rect">
          <a:avLst/>
        </a:prstGeom>
        <a:noFill/>
      </xdr:spPr>
    </xdr:pic>
    <xdr:clientData fLocksWithSheet="0"/>
  </xdr:oneCellAnchor>
  <xdr:oneCellAnchor>
    <xdr:from>
      <xdr:col>0</xdr:col>
      <xdr:colOff>0</xdr:colOff>
      <xdr:row>7</xdr:row>
      <xdr:rowOff>0</xdr:rowOff>
    </xdr:from>
    <xdr:ext cx="200025" cy="200025"/>
    <xdr:pic>
      <xdr:nvPicPr>
        <xdr:cNvPr id="0" name="image133.png"/>
        <xdr:cNvPicPr preferRelativeResize="0"/>
      </xdr:nvPicPr>
      <xdr:blipFill>
        <a:blip cstate="print" r:embed="rId7"/>
        <a:stretch>
          <a:fillRect/>
        </a:stretch>
      </xdr:blipFill>
      <xdr:spPr>
        <a:prstGeom prst="rect">
          <a:avLst/>
        </a:prstGeom>
        <a:noFill/>
      </xdr:spPr>
    </xdr:pic>
    <xdr:clientData fLocksWithSheet="0"/>
  </xdr:oneCellAnchor>
  <xdr:oneCellAnchor>
    <xdr:from>
      <xdr:col>0</xdr:col>
      <xdr:colOff>0</xdr:colOff>
      <xdr:row>8</xdr:row>
      <xdr:rowOff>0</xdr:rowOff>
    </xdr:from>
    <xdr:ext cx="200025" cy="200025"/>
    <xdr:pic>
      <xdr:nvPicPr>
        <xdr:cNvPr id="0" name="image135.png"/>
        <xdr:cNvPicPr preferRelativeResize="0"/>
      </xdr:nvPicPr>
      <xdr:blipFill>
        <a:blip cstate="print" r:embed="rId8"/>
        <a:stretch>
          <a:fillRect/>
        </a:stretch>
      </xdr:blipFill>
      <xdr:spPr>
        <a:prstGeom prst="rect">
          <a:avLst/>
        </a:prstGeom>
        <a:noFill/>
      </xdr:spPr>
    </xdr:pic>
    <xdr:clientData fLocksWithSheet="0"/>
  </xdr:oneCellAnchor>
  <xdr:oneCellAnchor>
    <xdr:from>
      <xdr:col>0</xdr:col>
      <xdr:colOff>0</xdr:colOff>
      <xdr:row>9</xdr:row>
      <xdr:rowOff>0</xdr:rowOff>
    </xdr:from>
    <xdr:ext cx="200025" cy="200025"/>
    <xdr:pic>
      <xdr:nvPicPr>
        <xdr:cNvPr id="0" name="image134.png"/>
        <xdr:cNvPicPr preferRelativeResize="0"/>
      </xdr:nvPicPr>
      <xdr:blipFill>
        <a:blip cstate="print" r:embed="rId9"/>
        <a:stretch>
          <a:fillRect/>
        </a:stretch>
      </xdr:blipFill>
      <xdr:spPr>
        <a:prstGeom prst="rect">
          <a:avLst/>
        </a:prstGeom>
        <a:noFill/>
      </xdr:spPr>
    </xdr:pic>
    <xdr:clientData fLocksWithSheet="0"/>
  </xdr:oneCellAnchor>
  <xdr:oneCellAnchor>
    <xdr:from>
      <xdr:col>0</xdr:col>
      <xdr:colOff>0</xdr:colOff>
      <xdr:row>10</xdr:row>
      <xdr:rowOff>0</xdr:rowOff>
    </xdr:from>
    <xdr:ext cx="200025" cy="200025"/>
    <xdr:pic>
      <xdr:nvPicPr>
        <xdr:cNvPr id="0" name="image136.png"/>
        <xdr:cNvPicPr preferRelativeResize="0"/>
      </xdr:nvPicPr>
      <xdr:blipFill>
        <a:blip cstate="print" r:embed="rId10"/>
        <a:stretch>
          <a:fillRect/>
        </a:stretch>
      </xdr:blipFill>
      <xdr:spPr>
        <a:prstGeom prst="rect">
          <a:avLst/>
        </a:prstGeom>
        <a:noFill/>
      </xdr:spPr>
    </xdr:pic>
    <xdr:clientData fLocksWithSheet="0"/>
  </xdr:oneCellAnchor>
  <xdr:oneCellAnchor>
    <xdr:from>
      <xdr:col>0</xdr:col>
      <xdr:colOff>0</xdr:colOff>
      <xdr:row>11</xdr:row>
      <xdr:rowOff>0</xdr:rowOff>
    </xdr:from>
    <xdr:ext cx="200025" cy="200025"/>
    <xdr:pic>
      <xdr:nvPicPr>
        <xdr:cNvPr id="0" name="image143.png"/>
        <xdr:cNvPicPr preferRelativeResize="0"/>
      </xdr:nvPicPr>
      <xdr:blipFill>
        <a:blip cstate="print" r:embed="rId11"/>
        <a:stretch>
          <a:fillRect/>
        </a:stretch>
      </xdr:blipFill>
      <xdr:spPr>
        <a:prstGeom prst="rect">
          <a:avLst/>
        </a:prstGeom>
        <a:noFill/>
      </xdr:spPr>
    </xdr:pic>
    <xdr:clientData fLocksWithSheet="0"/>
  </xdr:oneCellAnchor>
  <xdr:oneCellAnchor>
    <xdr:from>
      <xdr:col>0</xdr:col>
      <xdr:colOff>0</xdr:colOff>
      <xdr:row>12</xdr:row>
      <xdr:rowOff>0</xdr:rowOff>
    </xdr:from>
    <xdr:ext cx="200025" cy="200025"/>
    <xdr:pic>
      <xdr:nvPicPr>
        <xdr:cNvPr id="0" name="image141.png"/>
        <xdr:cNvPicPr preferRelativeResize="0"/>
      </xdr:nvPicPr>
      <xdr:blipFill>
        <a:blip cstate="print" r:embed="rId12"/>
        <a:stretch>
          <a:fillRect/>
        </a:stretch>
      </xdr:blipFill>
      <xdr:spPr>
        <a:prstGeom prst="rect">
          <a:avLst/>
        </a:prstGeom>
        <a:noFill/>
      </xdr:spPr>
    </xdr:pic>
    <xdr:clientData fLocksWithSheet="0"/>
  </xdr:oneCellAnchor>
  <xdr:oneCellAnchor>
    <xdr:from>
      <xdr:col>0</xdr:col>
      <xdr:colOff>0</xdr:colOff>
      <xdr:row>13</xdr:row>
      <xdr:rowOff>0</xdr:rowOff>
    </xdr:from>
    <xdr:ext cx="200025" cy="200025"/>
    <xdr:pic>
      <xdr:nvPicPr>
        <xdr:cNvPr id="0" name="image146.png"/>
        <xdr:cNvPicPr preferRelativeResize="0"/>
      </xdr:nvPicPr>
      <xdr:blipFill>
        <a:blip cstate="print" r:embed="rId13"/>
        <a:stretch>
          <a:fillRect/>
        </a:stretch>
      </xdr:blipFill>
      <xdr:spPr>
        <a:prstGeom prst="rect">
          <a:avLst/>
        </a:prstGeom>
        <a:noFill/>
      </xdr:spPr>
    </xdr:pic>
    <xdr:clientData fLocksWithSheet="0"/>
  </xdr:oneCellAnchor>
  <xdr:oneCellAnchor>
    <xdr:from>
      <xdr:col>0</xdr:col>
      <xdr:colOff>0</xdr:colOff>
      <xdr:row>14</xdr:row>
      <xdr:rowOff>0</xdr:rowOff>
    </xdr:from>
    <xdr:ext cx="200025" cy="200025"/>
    <xdr:pic>
      <xdr:nvPicPr>
        <xdr:cNvPr id="0" name="image145.png"/>
        <xdr:cNvPicPr preferRelativeResize="0"/>
      </xdr:nvPicPr>
      <xdr:blipFill>
        <a:blip cstate="print" r:embed="rId14"/>
        <a:stretch>
          <a:fillRect/>
        </a:stretch>
      </xdr:blipFill>
      <xdr:spPr>
        <a:prstGeom prst="rect">
          <a:avLst/>
        </a:prstGeom>
        <a:noFill/>
      </xdr:spPr>
    </xdr:pic>
    <xdr:clientData fLocksWithSheet="0"/>
  </xdr:oneCellAnchor>
  <xdr:oneCellAnchor>
    <xdr:from>
      <xdr:col>0</xdr:col>
      <xdr:colOff>0</xdr:colOff>
      <xdr:row>15</xdr:row>
      <xdr:rowOff>0</xdr:rowOff>
    </xdr:from>
    <xdr:ext cx="200025" cy="200025"/>
    <xdr:pic>
      <xdr:nvPicPr>
        <xdr:cNvPr id="0" name="image158.png"/>
        <xdr:cNvPicPr preferRelativeResize="0"/>
      </xdr:nvPicPr>
      <xdr:blipFill>
        <a:blip cstate="print" r:embed="rId15"/>
        <a:stretch>
          <a:fillRect/>
        </a:stretch>
      </xdr:blipFill>
      <xdr:spPr>
        <a:prstGeom prst="rect">
          <a:avLst/>
        </a:prstGeom>
        <a:noFill/>
      </xdr:spPr>
    </xdr:pic>
    <xdr:clientData fLocksWithSheet="0"/>
  </xdr:oneCellAnchor>
  <xdr:oneCellAnchor>
    <xdr:from>
      <xdr:col>0</xdr:col>
      <xdr:colOff>0</xdr:colOff>
      <xdr:row>16</xdr:row>
      <xdr:rowOff>0</xdr:rowOff>
    </xdr:from>
    <xdr:ext cx="200025" cy="200025"/>
    <xdr:pic>
      <xdr:nvPicPr>
        <xdr:cNvPr id="0" name="image144.png"/>
        <xdr:cNvPicPr preferRelativeResize="0"/>
      </xdr:nvPicPr>
      <xdr:blipFill>
        <a:blip cstate="print" r:embed="rId16"/>
        <a:stretch>
          <a:fillRect/>
        </a:stretch>
      </xdr:blipFill>
      <xdr:spPr>
        <a:prstGeom prst="rect">
          <a:avLst/>
        </a:prstGeom>
        <a:noFill/>
      </xdr:spPr>
    </xdr:pic>
    <xdr:clientData fLocksWithSheet="0"/>
  </xdr:oneCellAnchor>
  <xdr:oneCellAnchor>
    <xdr:from>
      <xdr:col>0</xdr:col>
      <xdr:colOff>0</xdr:colOff>
      <xdr:row>17</xdr:row>
      <xdr:rowOff>0</xdr:rowOff>
    </xdr:from>
    <xdr:ext cx="200025" cy="200025"/>
    <xdr:pic>
      <xdr:nvPicPr>
        <xdr:cNvPr id="0" name="image142.png"/>
        <xdr:cNvPicPr preferRelativeResize="0"/>
      </xdr:nvPicPr>
      <xdr:blipFill>
        <a:blip cstate="print" r:embed="rId17"/>
        <a:stretch>
          <a:fillRect/>
        </a:stretch>
      </xdr:blipFill>
      <xdr:spPr>
        <a:prstGeom prst="rect">
          <a:avLst/>
        </a:prstGeom>
        <a:noFill/>
      </xdr:spPr>
    </xdr:pic>
    <xdr:clientData fLocksWithSheet="0"/>
  </xdr:oneCellAnchor>
  <xdr:oneCellAnchor>
    <xdr:from>
      <xdr:col>0</xdr:col>
      <xdr:colOff>0</xdr:colOff>
      <xdr:row>18</xdr:row>
      <xdr:rowOff>0</xdr:rowOff>
    </xdr:from>
    <xdr:ext cx="200025" cy="200025"/>
    <xdr:pic>
      <xdr:nvPicPr>
        <xdr:cNvPr id="0" name="image148.png"/>
        <xdr:cNvPicPr preferRelativeResize="0"/>
      </xdr:nvPicPr>
      <xdr:blipFill>
        <a:blip cstate="print" r:embed="rId18"/>
        <a:stretch>
          <a:fillRect/>
        </a:stretch>
      </xdr:blipFill>
      <xdr:spPr>
        <a:prstGeom prst="rect">
          <a:avLst/>
        </a:prstGeom>
        <a:noFill/>
      </xdr:spPr>
    </xdr:pic>
    <xdr:clientData fLocksWithSheet="0"/>
  </xdr:oneCellAnchor>
  <xdr:oneCellAnchor>
    <xdr:from>
      <xdr:col>0</xdr:col>
      <xdr:colOff>0</xdr:colOff>
      <xdr:row>19</xdr:row>
      <xdr:rowOff>0</xdr:rowOff>
    </xdr:from>
    <xdr:ext cx="200025" cy="200025"/>
    <xdr:pic>
      <xdr:nvPicPr>
        <xdr:cNvPr id="0" name="image156.png"/>
        <xdr:cNvPicPr preferRelativeResize="0"/>
      </xdr:nvPicPr>
      <xdr:blipFill>
        <a:blip cstate="print" r:embed="rId19"/>
        <a:stretch>
          <a:fillRect/>
        </a:stretch>
      </xdr:blipFill>
      <xdr:spPr>
        <a:prstGeom prst="rect">
          <a:avLst/>
        </a:prstGeom>
        <a:noFill/>
      </xdr:spPr>
    </xdr:pic>
    <xdr:clientData fLocksWithSheet="0"/>
  </xdr:oneCellAnchor>
  <xdr:oneCellAnchor>
    <xdr:from>
      <xdr:col>0</xdr:col>
      <xdr:colOff>0</xdr:colOff>
      <xdr:row>20</xdr:row>
      <xdr:rowOff>0</xdr:rowOff>
    </xdr:from>
    <xdr:ext cx="200025" cy="200025"/>
    <xdr:pic>
      <xdr:nvPicPr>
        <xdr:cNvPr id="0" name="image147.png"/>
        <xdr:cNvPicPr preferRelativeResize="0"/>
      </xdr:nvPicPr>
      <xdr:blipFill>
        <a:blip cstate="print" r:embed="rId20"/>
        <a:stretch>
          <a:fillRect/>
        </a:stretch>
      </xdr:blipFill>
      <xdr:spPr>
        <a:prstGeom prst="rect">
          <a:avLst/>
        </a:prstGeom>
        <a:noFill/>
      </xdr:spPr>
    </xdr:pic>
    <xdr:clientData fLocksWithSheet="0"/>
  </xdr:oneCellAnchor>
  <xdr:oneCellAnchor>
    <xdr:from>
      <xdr:col>0</xdr:col>
      <xdr:colOff>0</xdr:colOff>
      <xdr:row>21</xdr:row>
      <xdr:rowOff>0</xdr:rowOff>
    </xdr:from>
    <xdr:ext cx="200025" cy="200025"/>
    <xdr:pic>
      <xdr:nvPicPr>
        <xdr:cNvPr id="0" name="image170.png"/>
        <xdr:cNvPicPr preferRelativeResize="0"/>
      </xdr:nvPicPr>
      <xdr:blipFill>
        <a:blip cstate="print" r:embed="rId21"/>
        <a:stretch>
          <a:fillRect/>
        </a:stretch>
      </xdr:blipFill>
      <xdr:spPr>
        <a:prstGeom prst="rect">
          <a:avLst/>
        </a:prstGeom>
        <a:noFill/>
      </xdr:spPr>
    </xdr:pic>
    <xdr:clientData fLocksWithSheet="0"/>
  </xdr:oneCellAnchor>
  <xdr:oneCellAnchor>
    <xdr:from>
      <xdr:col>0</xdr:col>
      <xdr:colOff>0</xdr:colOff>
      <xdr:row>22</xdr:row>
      <xdr:rowOff>0</xdr:rowOff>
    </xdr:from>
    <xdr:ext cx="200025" cy="200025"/>
    <xdr:pic>
      <xdr:nvPicPr>
        <xdr:cNvPr id="0" name="image153.png"/>
        <xdr:cNvPicPr preferRelativeResize="0"/>
      </xdr:nvPicPr>
      <xdr:blipFill>
        <a:blip cstate="print" r:embed="rId22"/>
        <a:stretch>
          <a:fillRect/>
        </a:stretch>
      </xdr:blipFill>
      <xdr:spPr>
        <a:prstGeom prst="rect">
          <a:avLst/>
        </a:prstGeom>
        <a:noFill/>
      </xdr:spPr>
    </xdr:pic>
    <xdr:clientData fLocksWithSheet="0"/>
  </xdr:oneCellAnchor>
  <xdr:oneCellAnchor>
    <xdr:from>
      <xdr:col>0</xdr:col>
      <xdr:colOff>0</xdr:colOff>
      <xdr:row>23</xdr:row>
      <xdr:rowOff>0</xdr:rowOff>
    </xdr:from>
    <xdr:ext cx="200025" cy="200025"/>
    <xdr:pic>
      <xdr:nvPicPr>
        <xdr:cNvPr id="0" name="image161.png"/>
        <xdr:cNvPicPr preferRelativeResize="0"/>
      </xdr:nvPicPr>
      <xdr:blipFill>
        <a:blip cstate="print" r:embed="rId23"/>
        <a:stretch>
          <a:fillRect/>
        </a:stretch>
      </xdr:blipFill>
      <xdr:spPr>
        <a:prstGeom prst="rect">
          <a:avLst/>
        </a:prstGeom>
        <a:noFill/>
      </xdr:spPr>
    </xdr:pic>
    <xdr:clientData fLocksWithSheet="0"/>
  </xdr:oneCellAnchor>
  <xdr:oneCellAnchor>
    <xdr:from>
      <xdr:col>0</xdr:col>
      <xdr:colOff>0</xdr:colOff>
      <xdr:row>24</xdr:row>
      <xdr:rowOff>0</xdr:rowOff>
    </xdr:from>
    <xdr:ext cx="200025" cy="200025"/>
    <xdr:pic>
      <xdr:nvPicPr>
        <xdr:cNvPr id="0" name="image152.png"/>
        <xdr:cNvPicPr preferRelativeResize="0"/>
      </xdr:nvPicPr>
      <xdr:blipFill>
        <a:blip cstate="print" r:embed="rId24"/>
        <a:stretch>
          <a:fillRect/>
        </a:stretch>
      </xdr:blipFill>
      <xdr:spPr>
        <a:prstGeom prst="rect">
          <a:avLst/>
        </a:prstGeom>
        <a:noFill/>
      </xdr:spPr>
    </xdr:pic>
    <xdr:clientData fLocksWithSheet="0"/>
  </xdr:oneCellAnchor>
  <xdr:oneCellAnchor>
    <xdr:from>
      <xdr:col>0</xdr:col>
      <xdr:colOff>0</xdr:colOff>
      <xdr:row>25</xdr:row>
      <xdr:rowOff>0</xdr:rowOff>
    </xdr:from>
    <xdr:ext cx="200025" cy="200025"/>
    <xdr:pic>
      <xdr:nvPicPr>
        <xdr:cNvPr id="0" name="image155.png"/>
        <xdr:cNvPicPr preferRelativeResize="0"/>
      </xdr:nvPicPr>
      <xdr:blipFill>
        <a:blip cstate="print" r:embed="rId25"/>
        <a:stretch>
          <a:fillRect/>
        </a:stretch>
      </xdr:blipFill>
      <xdr:spPr>
        <a:prstGeom prst="rect">
          <a:avLst/>
        </a:prstGeom>
        <a:noFill/>
      </xdr:spPr>
    </xdr:pic>
    <xdr:clientData fLocksWithSheet="0"/>
  </xdr:oneCellAnchor>
  <xdr:oneCellAnchor>
    <xdr:from>
      <xdr:col>0</xdr:col>
      <xdr:colOff>0</xdr:colOff>
      <xdr:row>26</xdr:row>
      <xdr:rowOff>0</xdr:rowOff>
    </xdr:from>
    <xdr:ext cx="200025" cy="200025"/>
    <xdr:pic>
      <xdr:nvPicPr>
        <xdr:cNvPr id="0" name="image151.png"/>
        <xdr:cNvPicPr preferRelativeResize="0"/>
      </xdr:nvPicPr>
      <xdr:blipFill>
        <a:blip cstate="print" r:embed="rId26"/>
        <a:stretch>
          <a:fillRect/>
        </a:stretch>
      </xdr:blipFill>
      <xdr:spPr>
        <a:prstGeom prst="rect">
          <a:avLst/>
        </a:prstGeom>
        <a:noFill/>
      </xdr:spPr>
    </xdr:pic>
    <xdr:clientData fLocksWithSheet="0"/>
  </xdr:oneCellAnchor>
  <xdr:oneCellAnchor>
    <xdr:from>
      <xdr:col>0</xdr:col>
      <xdr:colOff>0</xdr:colOff>
      <xdr:row>27</xdr:row>
      <xdr:rowOff>0</xdr:rowOff>
    </xdr:from>
    <xdr:ext cx="200025" cy="200025"/>
    <xdr:pic>
      <xdr:nvPicPr>
        <xdr:cNvPr id="0" name="image166.png"/>
        <xdr:cNvPicPr preferRelativeResize="0"/>
      </xdr:nvPicPr>
      <xdr:blipFill>
        <a:blip cstate="print" r:embed="rId27"/>
        <a:stretch>
          <a:fillRect/>
        </a:stretch>
      </xdr:blipFill>
      <xdr:spPr>
        <a:prstGeom prst="rect">
          <a:avLst/>
        </a:prstGeom>
        <a:noFill/>
      </xdr:spPr>
    </xdr:pic>
    <xdr:clientData fLocksWithSheet="0"/>
  </xdr:oneCellAnchor>
  <xdr:oneCellAnchor>
    <xdr:from>
      <xdr:col>0</xdr:col>
      <xdr:colOff>0</xdr:colOff>
      <xdr:row>28</xdr:row>
      <xdr:rowOff>0</xdr:rowOff>
    </xdr:from>
    <xdr:ext cx="200025" cy="200025"/>
    <xdr:pic>
      <xdr:nvPicPr>
        <xdr:cNvPr id="0" name="image165.png"/>
        <xdr:cNvPicPr preferRelativeResize="0"/>
      </xdr:nvPicPr>
      <xdr:blipFill>
        <a:blip cstate="print" r:embed="rId28"/>
        <a:stretch>
          <a:fillRect/>
        </a:stretch>
      </xdr:blipFill>
      <xdr:spPr>
        <a:prstGeom prst="rect">
          <a:avLst/>
        </a:prstGeom>
        <a:noFill/>
      </xdr:spPr>
    </xdr:pic>
    <xdr:clientData fLocksWithSheet="0"/>
  </xdr:oneCellAnchor>
  <xdr:oneCellAnchor>
    <xdr:from>
      <xdr:col>0</xdr:col>
      <xdr:colOff>0</xdr:colOff>
      <xdr:row>29</xdr:row>
      <xdr:rowOff>0</xdr:rowOff>
    </xdr:from>
    <xdr:ext cx="200025" cy="200025"/>
    <xdr:pic>
      <xdr:nvPicPr>
        <xdr:cNvPr id="0" name="image159.png"/>
        <xdr:cNvPicPr preferRelativeResize="0"/>
      </xdr:nvPicPr>
      <xdr:blipFill>
        <a:blip cstate="print" r:embed="rId29"/>
        <a:stretch>
          <a:fillRect/>
        </a:stretch>
      </xdr:blipFill>
      <xdr:spPr>
        <a:prstGeom prst="rect">
          <a:avLst/>
        </a:prstGeom>
        <a:noFill/>
      </xdr:spPr>
    </xdr:pic>
    <xdr:clientData fLocksWithSheet="0"/>
  </xdr:oneCellAnchor>
  <xdr:oneCellAnchor>
    <xdr:from>
      <xdr:col>0</xdr:col>
      <xdr:colOff>0</xdr:colOff>
      <xdr:row>30</xdr:row>
      <xdr:rowOff>0</xdr:rowOff>
    </xdr:from>
    <xdr:ext cx="200025" cy="200025"/>
    <xdr:pic>
      <xdr:nvPicPr>
        <xdr:cNvPr id="0" name="image164.png"/>
        <xdr:cNvPicPr preferRelativeResize="0"/>
      </xdr:nvPicPr>
      <xdr:blipFill>
        <a:blip cstate="print" r:embed="rId30"/>
        <a:stretch>
          <a:fillRect/>
        </a:stretch>
      </xdr:blipFill>
      <xdr:spPr>
        <a:prstGeom prst="rect">
          <a:avLst/>
        </a:prstGeom>
        <a:noFill/>
      </xdr:spPr>
    </xdr:pic>
    <xdr:clientData fLocksWithSheet="0"/>
  </xdr:oneCellAnchor>
  <xdr:oneCellAnchor>
    <xdr:from>
      <xdr:col>0</xdr:col>
      <xdr:colOff>0</xdr:colOff>
      <xdr:row>31</xdr:row>
      <xdr:rowOff>0</xdr:rowOff>
    </xdr:from>
    <xdr:ext cx="200025" cy="200025"/>
    <xdr:pic>
      <xdr:nvPicPr>
        <xdr:cNvPr id="0" name="image163.png"/>
        <xdr:cNvPicPr preferRelativeResize="0"/>
      </xdr:nvPicPr>
      <xdr:blipFill>
        <a:blip cstate="print" r:embed="rId31"/>
        <a:stretch>
          <a:fillRect/>
        </a:stretch>
      </xdr:blipFill>
      <xdr:spPr>
        <a:prstGeom prst="rect">
          <a:avLst/>
        </a:prstGeom>
        <a:noFill/>
      </xdr:spPr>
    </xdr:pic>
    <xdr:clientData fLocksWithSheet="0"/>
  </xdr:oneCellAnchor>
  <xdr:oneCellAnchor>
    <xdr:from>
      <xdr:col>0</xdr:col>
      <xdr:colOff>0</xdr:colOff>
      <xdr:row>32</xdr:row>
      <xdr:rowOff>0</xdr:rowOff>
    </xdr:from>
    <xdr:ext cx="200025" cy="200025"/>
    <xdr:pic>
      <xdr:nvPicPr>
        <xdr:cNvPr id="0" name="image171.png"/>
        <xdr:cNvPicPr preferRelativeResize="0"/>
      </xdr:nvPicPr>
      <xdr:blipFill>
        <a:blip cstate="print" r:embed="rId32"/>
        <a:stretch>
          <a:fillRect/>
        </a:stretch>
      </xdr:blipFill>
      <xdr:spPr>
        <a:prstGeom prst="rect">
          <a:avLst/>
        </a:prstGeom>
        <a:noFill/>
      </xdr:spPr>
    </xdr:pic>
    <xdr:clientData fLocksWithSheet="0"/>
  </xdr:oneCellAnchor>
  <xdr:oneCellAnchor>
    <xdr:from>
      <xdr:col>0</xdr:col>
      <xdr:colOff>0</xdr:colOff>
      <xdr:row>33</xdr:row>
      <xdr:rowOff>0</xdr:rowOff>
    </xdr:from>
    <xdr:ext cx="200025" cy="200025"/>
    <xdr:pic>
      <xdr:nvPicPr>
        <xdr:cNvPr id="0" name="image160.png"/>
        <xdr:cNvPicPr preferRelativeResize="0"/>
      </xdr:nvPicPr>
      <xdr:blipFill>
        <a:blip cstate="print" r:embed="rId33"/>
        <a:stretch>
          <a:fillRect/>
        </a:stretch>
      </xdr:blipFill>
      <xdr:spPr>
        <a:prstGeom prst="rect">
          <a:avLst/>
        </a:prstGeom>
        <a:noFill/>
      </xdr:spPr>
    </xdr:pic>
    <xdr:clientData fLocksWithSheet="0"/>
  </xdr:oneCellAnchor>
  <xdr:oneCellAnchor>
    <xdr:from>
      <xdr:col>0</xdr:col>
      <xdr:colOff>0</xdr:colOff>
      <xdr:row>34</xdr:row>
      <xdr:rowOff>0</xdr:rowOff>
    </xdr:from>
    <xdr:ext cx="200025" cy="200025"/>
    <xdr:pic>
      <xdr:nvPicPr>
        <xdr:cNvPr id="0" name="image175.png"/>
        <xdr:cNvPicPr preferRelativeResize="0"/>
      </xdr:nvPicPr>
      <xdr:blipFill>
        <a:blip cstate="print" r:embed="rId34"/>
        <a:stretch>
          <a:fillRect/>
        </a:stretch>
      </xdr:blipFill>
      <xdr:spPr>
        <a:prstGeom prst="rect">
          <a:avLst/>
        </a:prstGeom>
        <a:noFill/>
      </xdr:spPr>
    </xdr:pic>
    <xdr:clientData fLocksWithSheet="0"/>
  </xdr:oneCellAnchor>
  <xdr:oneCellAnchor>
    <xdr:from>
      <xdr:col>0</xdr:col>
      <xdr:colOff>0</xdr:colOff>
      <xdr:row>35</xdr:row>
      <xdr:rowOff>0</xdr:rowOff>
    </xdr:from>
    <xdr:ext cx="200025" cy="200025"/>
    <xdr:pic>
      <xdr:nvPicPr>
        <xdr:cNvPr id="0" name="image167.png"/>
        <xdr:cNvPicPr preferRelativeResize="0"/>
      </xdr:nvPicPr>
      <xdr:blipFill>
        <a:blip cstate="print" r:embed="rId35"/>
        <a:stretch>
          <a:fillRect/>
        </a:stretch>
      </xdr:blipFill>
      <xdr:spPr>
        <a:prstGeom prst="rect">
          <a:avLst/>
        </a:prstGeom>
        <a:noFill/>
      </xdr:spPr>
    </xdr:pic>
    <xdr:clientData fLocksWithSheet="0"/>
  </xdr:oneCellAnchor>
  <xdr:oneCellAnchor>
    <xdr:from>
      <xdr:col>0</xdr:col>
      <xdr:colOff>0</xdr:colOff>
      <xdr:row>36</xdr:row>
      <xdr:rowOff>0</xdr:rowOff>
    </xdr:from>
    <xdr:ext cx="200025" cy="200025"/>
    <xdr:pic>
      <xdr:nvPicPr>
        <xdr:cNvPr id="0" name="image168.png"/>
        <xdr:cNvPicPr preferRelativeResize="0"/>
      </xdr:nvPicPr>
      <xdr:blipFill>
        <a:blip cstate="print" r:embed="rId36"/>
        <a:stretch>
          <a:fillRect/>
        </a:stretch>
      </xdr:blipFill>
      <xdr:spPr>
        <a:prstGeom prst="rect">
          <a:avLst/>
        </a:prstGeom>
        <a:noFill/>
      </xdr:spPr>
    </xdr:pic>
    <xdr:clientData fLocksWithSheet="0"/>
  </xdr:oneCellAnchor>
  <xdr:oneCellAnchor>
    <xdr:from>
      <xdr:col>0</xdr:col>
      <xdr:colOff>0</xdr:colOff>
      <xdr:row>37</xdr:row>
      <xdr:rowOff>0</xdr:rowOff>
    </xdr:from>
    <xdr:ext cx="200025" cy="200025"/>
    <xdr:pic>
      <xdr:nvPicPr>
        <xdr:cNvPr id="0" name="image173.png"/>
        <xdr:cNvPicPr preferRelativeResize="0"/>
      </xdr:nvPicPr>
      <xdr:blipFill>
        <a:blip cstate="print" r:embed="rId37"/>
        <a:stretch>
          <a:fillRect/>
        </a:stretch>
      </xdr:blipFill>
      <xdr:spPr>
        <a:prstGeom prst="rect">
          <a:avLst/>
        </a:prstGeom>
        <a:noFill/>
      </xdr:spPr>
    </xdr:pic>
    <xdr:clientData fLocksWithSheet="0"/>
  </xdr:oneCellAnchor>
  <xdr:oneCellAnchor>
    <xdr:from>
      <xdr:col>0</xdr:col>
      <xdr:colOff>0</xdr:colOff>
      <xdr:row>38</xdr:row>
      <xdr:rowOff>0</xdr:rowOff>
    </xdr:from>
    <xdr:ext cx="200025" cy="200025"/>
    <xdr:pic>
      <xdr:nvPicPr>
        <xdr:cNvPr id="0" name="image169.png"/>
        <xdr:cNvPicPr preferRelativeResize="0"/>
      </xdr:nvPicPr>
      <xdr:blipFill>
        <a:blip cstate="print" r:embed="rId38"/>
        <a:stretch>
          <a:fillRect/>
        </a:stretch>
      </xdr:blipFill>
      <xdr:spPr>
        <a:prstGeom prst="rect">
          <a:avLst/>
        </a:prstGeom>
        <a:noFill/>
      </xdr:spPr>
    </xdr:pic>
    <xdr:clientData fLocksWithSheet="0"/>
  </xdr:oneCellAnchor>
  <xdr:oneCellAnchor>
    <xdr:from>
      <xdr:col>0</xdr:col>
      <xdr:colOff>0</xdr:colOff>
      <xdr:row>39</xdr:row>
      <xdr:rowOff>0</xdr:rowOff>
    </xdr:from>
    <xdr:ext cx="200025" cy="200025"/>
    <xdr:pic>
      <xdr:nvPicPr>
        <xdr:cNvPr id="0" name="image298.png"/>
        <xdr:cNvPicPr preferRelativeResize="0"/>
      </xdr:nvPicPr>
      <xdr:blipFill>
        <a:blip cstate="print" r:embed="rId39"/>
        <a:stretch>
          <a:fillRect/>
        </a:stretch>
      </xdr:blipFill>
      <xdr:spPr>
        <a:prstGeom prst="rect">
          <a:avLst/>
        </a:prstGeom>
        <a:noFill/>
      </xdr:spPr>
    </xdr:pic>
    <xdr:clientData fLocksWithSheet="0"/>
  </xdr:oneCellAnchor>
  <xdr:oneCellAnchor>
    <xdr:from>
      <xdr:col>0</xdr:col>
      <xdr:colOff>0</xdr:colOff>
      <xdr:row>40</xdr:row>
      <xdr:rowOff>0</xdr:rowOff>
    </xdr:from>
    <xdr:ext cx="200025" cy="200025"/>
    <xdr:pic>
      <xdr:nvPicPr>
        <xdr:cNvPr id="0" name="image172.png"/>
        <xdr:cNvPicPr preferRelativeResize="0"/>
      </xdr:nvPicPr>
      <xdr:blipFill>
        <a:blip cstate="print" r:embed="rId40"/>
        <a:stretch>
          <a:fillRect/>
        </a:stretch>
      </xdr:blipFill>
      <xdr:spPr>
        <a:prstGeom prst="rect">
          <a:avLst/>
        </a:prstGeom>
        <a:noFill/>
      </xdr:spPr>
    </xdr:pic>
    <xdr:clientData fLocksWithSheet="0"/>
  </xdr:oneCellAnchor>
  <xdr:oneCellAnchor>
    <xdr:from>
      <xdr:col>0</xdr:col>
      <xdr:colOff>0</xdr:colOff>
      <xdr:row>41</xdr:row>
      <xdr:rowOff>0</xdr:rowOff>
    </xdr:from>
    <xdr:ext cx="200025" cy="200025"/>
    <xdr:pic>
      <xdr:nvPicPr>
        <xdr:cNvPr id="0" name="image178.png"/>
        <xdr:cNvPicPr preferRelativeResize="0"/>
      </xdr:nvPicPr>
      <xdr:blipFill>
        <a:blip cstate="print" r:embed="rId41"/>
        <a:stretch>
          <a:fillRect/>
        </a:stretch>
      </xdr:blipFill>
      <xdr:spPr>
        <a:prstGeom prst="rect">
          <a:avLst/>
        </a:prstGeom>
        <a:noFill/>
      </xdr:spPr>
    </xdr:pic>
    <xdr:clientData fLocksWithSheet="0"/>
  </xdr:oneCellAnchor>
  <xdr:oneCellAnchor>
    <xdr:from>
      <xdr:col>0</xdr:col>
      <xdr:colOff>0</xdr:colOff>
      <xdr:row>42</xdr:row>
      <xdr:rowOff>0</xdr:rowOff>
    </xdr:from>
    <xdr:ext cx="200025" cy="200025"/>
    <xdr:pic>
      <xdr:nvPicPr>
        <xdr:cNvPr id="0" name="image176.png"/>
        <xdr:cNvPicPr preferRelativeResize="0"/>
      </xdr:nvPicPr>
      <xdr:blipFill>
        <a:blip cstate="print" r:embed="rId42"/>
        <a:stretch>
          <a:fillRect/>
        </a:stretch>
      </xdr:blipFill>
      <xdr:spPr>
        <a:prstGeom prst="rect">
          <a:avLst/>
        </a:prstGeom>
        <a:noFill/>
      </xdr:spPr>
    </xdr:pic>
    <xdr:clientData fLocksWithSheet="0"/>
  </xdr:oneCellAnchor>
  <xdr:oneCellAnchor>
    <xdr:from>
      <xdr:col>0</xdr:col>
      <xdr:colOff>0</xdr:colOff>
      <xdr:row>43</xdr:row>
      <xdr:rowOff>0</xdr:rowOff>
    </xdr:from>
    <xdr:ext cx="200025" cy="200025"/>
    <xdr:pic>
      <xdr:nvPicPr>
        <xdr:cNvPr id="0" name="image179.png"/>
        <xdr:cNvPicPr preferRelativeResize="0"/>
      </xdr:nvPicPr>
      <xdr:blipFill>
        <a:blip cstate="print" r:embed="rId43"/>
        <a:stretch>
          <a:fillRect/>
        </a:stretch>
      </xdr:blipFill>
      <xdr:spPr>
        <a:prstGeom prst="rect">
          <a:avLst/>
        </a:prstGeom>
        <a:noFill/>
      </xdr:spPr>
    </xdr:pic>
    <xdr:clientData fLocksWithSheet="0"/>
  </xdr:oneCellAnchor>
  <xdr:oneCellAnchor>
    <xdr:from>
      <xdr:col>0</xdr:col>
      <xdr:colOff>0</xdr:colOff>
      <xdr:row>44</xdr:row>
      <xdr:rowOff>0</xdr:rowOff>
    </xdr:from>
    <xdr:ext cx="200025" cy="200025"/>
    <xdr:pic>
      <xdr:nvPicPr>
        <xdr:cNvPr id="0" name="image177.png"/>
        <xdr:cNvPicPr preferRelativeResize="0"/>
      </xdr:nvPicPr>
      <xdr:blipFill>
        <a:blip cstate="print" r:embed="rId44"/>
        <a:stretch>
          <a:fillRect/>
        </a:stretch>
      </xdr:blipFill>
      <xdr:spPr>
        <a:prstGeom prst="rect">
          <a:avLst/>
        </a:prstGeom>
        <a:noFill/>
      </xdr:spPr>
    </xdr:pic>
    <xdr:clientData fLocksWithSheet="0"/>
  </xdr:oneCellAnchor>
  <xdr:oneCellAnchor>
    <xdr:from>
      <xdr:col>0</xdr:col>
      <xdr:colOff>0</xdr:colOff>
      <xdr:row>45</xdr:row>
      <xdr:rowOff>0</xdr:rowOff>
    </xdr:from>
    <xdr:ext cx="200025" cy="200025"/>
    <xdr:pic>
      <xdr:nvPicPr>
        <xdr:cNvPr id="0" name="image181.png"/>
        <xdr:cNvPicPr preferRelativeResize="0"/>
      </xdr:nvPicPr>
      <xdr:blipFill>
        <a:blip cstate="print" r:embed="rId45"/>
        <a:stretch>
          <a:fillRect/>
        </a:stretch>
      </xdr:blipFill>
      <xdr:spPr>
        <a:prstGeom prst="rect">
          <a:avLst/>
        </a:prstGeom>
        <a:noFill/>
      </xdr:spPr>
    </xdr:pic>
    <xdr:clientData fLocksWithSheet="0"/>
  </xdr:oneCellAnchor>
  <xdr:oneCellAnchor>
    <xdr:from>
      <xdr:col>0</xdr:col>
      <xdr:colOff>0</xdr:colOff>
      <xdr:row>46</xdr:row>
      <xdr:rowOff>0</xdr:rowOff>
    </xdr:from>
    <xdr:ext cx="200025" cy="200025"/>
    <xdr:pic>
      <xdr:nvPicPr>
        <xdr:cNvPr id="0" name="image188.png"/>
        <xdr:cNvPicPr preferRelativeResize="0"/>
      </xdr:nvPicPr>
      <xdr:blipFill>
        <a:blip cstate="print" r:embed="rId46"/>
        <a:stretch>
          <a:fillRect/>
        </a:stretch>
      </xdr:blipFill>
      <xdr:spPr>
        <a:prstGeom prst="rect">
          <a:avLst/>
        </a:prstGeom>
        <a:noFill/>
      </xdr:spPr>
    </xdr:pic>
    <xdr:clientData fLocksWithSheet="0"/>
  </xdr:oneCellAnchor>
  <xdr:oneCellAnchor>
    <xdr:from>
      <xdr:col>0</xdr:col>
      <xdr:colOff>0</xdr:colOff>
      <xdr:row>47</xdr:row>
      <xdr:rowOff>0</xdr:rowOff>
    </xdr:from>
    <xdr:ext cx="200025" cy="200025"/>
    <xdr:pic>
      <xdr:nvPicPr>
        <xdr:cNvPr id="0" name="image182.png"/>
        <xdr:cNvPicPr preferRelativeResize="0"/>
      </xdr:nvPicPr>
      <xdr:blipFill>
        <a:blip cstate="print" r:embed="rId47"/>
        <a:stretch>
          <a:fillRect/>
        </a:stretch>
      </xdr:blipFill>
      <xdr:spPr>
        <a:prstGeom prst="rect">
          <a:avLst/>
        </a:prstGeom>
        <a:noFill/>
      </xdr:spPr>
    </xdr:pic>
    <xdr:clientData fLocksWithSheet="0"/>
  </xdr:oneCellAnchor>
  <xdr:oneCellAnchor>
    <xdr:from>
      <xdr:col>0</xdr:col>
      <xdr:colOff>0</xdr:colOff>
      <xdr:row>48</xdr:row>
      <xdr:rowOff>0</xdr:rowOff>
    </xdr:from>
    <xdr:ext cx="200025" cy="200025"/>
    <xdr:pic>
      <xdr:nvPicPr>
        <xdr:cNvPr id="0" name="image197.png"/>
        <xdr:cNvPicPr preferRelativeResize="0"/>
      </xdr:nvPicPr>
      <xdr:blipFill>
        <a:blip cstate="print" r:embed="rId48"/>
        <a:stretch>
          <a:fillRect/>
        </a:stretch>
      </xdr:blipFill>
      <xdr:spPr>
        <a:prstGeom prst="rect">
          <a:avLst/>
        </a:prstGeom>
        <a:noFill/>
      </xdr:spPr>
    </xdr:pic>
    <xdr:clientData fLocksWithSheet="0"/>
  </xdr:oneCellAnchor>
  <xdr:oneCellAnchor>
    <xdr:from>
      <xdr:col>0</xdr:col>
      <xdr:colOff>0</xdr:colOff>
      <xdr:row>49</xdr:row>
      <xdr:rowOff>0</xdr:rowOff>
    </xdr:from>
    <xdr:ext cx="200025" cy="200025"/>
    <xdr:pic>
      <xdr:nvPicPr>
        <xdr:cNvPr id="0" name="image183.png"/>
        <xdr:cNvPicPr preferRelativeResize="0"/>
      </xdr:nvPicPr>
      <xdr:blipFill>
        <a:blip cstate="print" r:embed="rId49"/>
        <a:stretch>
          <a:fillRect/>
        </a:stretch>
      </xdr:blipFill>
      <xdr:spPr>
        <a:prstGeom prst="rect">
          <a:avLst/>
        </a:prstGeom>
        <a:noFill/>
      </xdr:spPr>
    </xdr:pic>
    <xdr:clientData fLocksWithSheet="0"/>
  </xdr:oneCellAnchor>
  <xdr:oneCellAnchor>
    <xdr:from>
      <xdr:col>0</xdr:col>
      <xdr:colOff>0</xdr:colOff>
      <xdr:row>50</xdr:row>
      <xdr:rowOff>0</xdr:rowOff>
    </xdr:from>
    <xdr:ext cx="200025" cy="200025"/>
    <xdr:pic>
      <xdr:nvPicPr>
        <xdr:cNvPr id="0" name="image187.png"/>
        <xdr:cNvPicPr preferRelativeResize="0"/>
      </xdr:nvPicPr>
      <xdr:blipFill>
        <a:blip cstate="print" r:embed="rId50"/>
        <a:stretch>
          <a:fillRect/>
        </a:stretch>
      </xdr:blipFill>
      <xdr:spPr>
        <a:prstGeom prst="rect">
          <a:avLst/>
        </a:prstGeom>
        <a:noFill/>
      </xdr:spPr>
    </xdr:pic>
    <xdr:clientData fLocksWithSheet="0"/>
  </xdr:oneCellAnchor>
  <xdr:oneCellAnchor>
    <xdr:from>
      <xdr:col>0</xdr:col>
      <xdr:colOff>0</xdr:colOff>
      <xdr:row>51</xdr:row>
      <xdr:rowOff>0</xdr:rowOff>
    </xdr:from>
    <xdr:ext cx="200025" cy="200025"/>
    <xdr:pic>
      <xdr:nvPicPr>
        <xdr:cNvPr id="0" name="image185.png"/>
        <xdr:cNvPicPr preferRelativeResize="0"/>
      </xdr:nvPicPr>
      <xdr:blipFill>
        <a:blip cstate="print" r:embed="rId51"/>
        <a:stretch>
          <a:fillRect/>
        </a:stretch>
      </xdr:blipFill>
      <xdr:spPr>
        <a:prstGeom prst="rect">
          <a:avLst/>
        </a:prstGeom>
        <a:noFill/>
      </xdr:spPr>
    </xdr:pic>
    <xdr:clientData fLocksWithSheet="0"/>
  </xdr:oneCellAnchor>
  <xdr:oneCellAnchor>
    <xdr:from>
      <xdr:col>0</xdr:col>
      <xdr:colOff>0</xdr:colOff>
      <xdr:row>52</xdr:row>
      <xdr:rowOff>0</xdr:rowOff>
    </xdr:from>
    <xdr:ext cx="200025" cy="200025"/>
    <xdr:pic>
      <xdr:nvPicPr>
        <xdr:cNvPr id="0" name="image184.png"/>
        <xdr:cNvPicPr preferRelativeResize="0"/>
      </xdr:nvPicPr>
      <xdr:blipFill>
        <a:blip cstate="print" r:embed="rId52"/>
        <a:stretch>
          <a:fillRect/>
        </a:stretch>
      </xdr:blipFill>
      <xdr:spPr>
        <a:prstGeom prst="rect">
          <a:avLst/>
        </a:prstGeom>
        <a:noFill/>
      </xdr:spPr>
    </xdr:pic>
    <xdr:clientData fLocksWithSheet="0"/>
  </xdr:oneCellAnchor>
  <xdr:oneCellAnchor>
    <xdr:from>
      <xdr:col>0</xdr:col>
      <xdr:colOff>0</xdr:colOff>
      <xdr:row>53</xdr:row>
      <xdr:rowOff>0</xdr:rowOff>
    </xdr:from>
    <xdr:ext cx="200025" cy="200025"/>
    <xdr:pic>
      <xdr:nvPicPr>
        <xdr:cNvPr id="0" name="image195.png"/>
        <xdr:cNvPicPr preferRelativeResize="0"/>
      </xdr:nvPicPr>
      <xdr:blipFill>
        <a:blip cstate="print" r:embed="rId53"/>
        <a:stretch>
          <a:fillRect/>
        </a:stretch>
      </xdr:blipFill>
      <xdr:spPr>
        <a:prstGeom prst="rect">
          <a:avLst/>
        </a:prstGeom>
        <a:noFill/>
      </xdr:spPr>
    </xdr:pic>
    <xdr:clientData fLocksWithSheet="0"/>
  </xdr:oneCellAnchor>
  <xdr:oneCellAnchor>
    <xdr:from>
      <xdr:col>0</xdr:col>
      <xdr:colOff>0</xdr:colOff>
      <xdr:row>54</xdr:row>
      <xdr:rowOff>0</xdr:rowOff>
    </xdr:from>
    <xdr:ext cx="200025" cy="200025"/>
    <xdr:pic>
      <xdr:nvPicPr>
        <xdr:cNvPr id="0" name="image366.png"/>
        <xdr:cNvPicPr preferRelativeResize="0"/>
      </xdr:nvPicPr>
      <xdr:blipFill>
        <a:blip cstate="print" r:embed="rId54"/>
        <a:stretch>
          <a:fillRect/>
        </a:stretch>
      </xdr:blipFill>
      <xdr:spPr>
        <a:prstGeom prst="rect">
          <a:avLst/>
        </a:prstGeom>
        <a:noFill/>
      </xdr:spPr>
    </xdr:pic>
    <xdr:clientData fLocksWithSheet="0"/>
  </xdr:oneCellAnchor>
  <xdr:oneCellAnchor>
    <xdr:from>
      <xdr:col>0</xdr:col>
      <xdr:colOff>0</xdr:colOff>
      <xdr:row>55</xdr:row>
      <xdr:rowOff>0</xdr:rowOff>
    </xdr:from>
    <xdr:ext cx="200025" cy="200025"/>
    <xdr:pic>
      <xdr:nvPicPr>
        <xdr:cNvPr id="0" name="image190.png"/>
        <xdr:cNvPicPr preferRelativeResize="0"/>
      </xdr:nvPicPr>
      <xdr:blipFill>
        <a:blip cstate="print" r:embed="rId55"/>
        <a:stretch>
          <a:fillRect/>
        </a:stretch>
      </xdr:blipFill>
      <xdr:spPr>
        <a:prstGeom prst="rect">
          <a:avLst/>
        </a:prstGeom>
        <a:noFill/>
      </xdr:spPr>
    </xdr:pic>
    <xdr:clientData fLocksWithSheet="0"/>
  </xdr:oneCellAnchor>
  <xdr:oneCellAnchor>
    <xdr:from>
      <xdr:col>0</xdr:col>
      <xdr:colOff>0</xdr:colOff>
      <xdr:row>56</xdr:row>
      <xdr:rowOff>0</xdr:rowOff>
    </xdr:from>
    <xdr:ext cx="200025" cy="200025"/>
    <xdr:pic>
      <xdr:nvPicPr>
        <xdr:cNvPr id="0" name="image186.png"/>
        <xdr:cNvPicPr preferRelativeResize="0"/>
      </xdr:nvPicPr>
      <xdr:blipFill>
        <a:blip cstate="print" r:embed="rId56"/>
        <a:stretch>
          <a:fillRect/>
        </a:stretch>
      </xdr:blipFill>
      <xdr:spPr>
        <a:prstGeom prst="rect">
          <a:avLst/>
        </a:prstGeom>
        <a:noFill/>
      </xdr:spPr>
    </xdr:pic>
    <xdr:clientData fLocksWithSheet="0"/>
  </xdr:oneCellAnchor>
  <xdr:oneCellAnchor>
    <xdr:from>
      <xdr:col>0</xdr:col>
      <xdr:colOff>0</xdr:colOff>
      <xdr:row>57</xdr:row>
      <xdr:rowOff>0</xdr:rowOff>
    </xdr:from>
    <xdr:ext cx="200025" cy="200025"/>
    <xdr:pic>
      <xdr:nvPicPr>
        <xdr:cNvPr id="0" name="image189.png"/>
        <xdr:cNvPicPr preferRelativeResize="0"/>
      </xdr:nvPicPr>
      <xdr:blipFill>
        <a:blip cstate="print" r:embed="rId57"/>
        <a:stretch>
          <a:fillRect/>
        </a:stretch>
      </xdr:blipFill>
      <xdr:spPr>
        <a:prstGeom prst="rect">
          <a:avLst/>
        </a:prstGeom>
        <a:noFill/>
      </xdr:spPr>
    </xdr:pic>
    <xdr:clientData fLocksWithSheet="0"/>
  </xdr:oneCellAnchor>
  <xdr:oneCellAnchor>
    <xdr:from>
      <xdr:col>0</xdr:col>
      <xdr:colOff>0</xdr:colOff>
      <xdr:row>58</xdr:row>
      <xdr:rowOff>0</xdr:rowOff>
    </xdr:from>
    <xdr:ext cx="200025" cy="200025"/>
    <xdr:pic>
      <xdr:nvPicPr>
        <xdr:cNvPr id="0" name="image209.png"/>
        <xdr:cNvPicPr preferRelativeResize="0"/>
      </xdr:nvPicPr>
      <xdr:blipFill>
        <a:blip cstate="print" r:embed="rId58"/>
        <a:stretch>
          <a:fillRect/>
        </a:stretch>
      </xdr:blipFill>
      <xdr:spPr>
        <a:prstGeom prst="rect">
          <a:avLst/>
        </a:prstGeom>
        <a:noFill/>
      </xdr:spPr>
    </xdr:pic>
    <xdr:clientData fLocksWithSheet="0"/>
  </xdr:oneCellAnchor>
  <xdr:oneCellAnchor>
    <xdr:from>
      <xdr:col>0</xdr:col>
      <xdr:colOff>0</xdr:colOff>
      <xdr:row>59</xdr:row>
      <xdr:rowOff>0</xdr:rowOff>
    </xdr:from>
    <xdr:ext cx="200025" cy="200025"/>
    <xdr:pic>
      <xdr:nvPicPr>
        <xdr:cNvPr id="0" name="image194.png"/>
        <xdr:cNvPicPr preferRelativeResize="0"/>
      </xdr:nvPicPr>
      <xdr:blipFill>
        <a:blip cstate="print" r:embed="rId59"/>
        <a:stretch>
          <a:fillRect/>
        </a:stretch>
      </xdr:blipFill>
      <xdr:spPr>
        <a:prstGeom prst="rect">
          <a:avLst/>
        </a:prstGeom>
        <a:noFill/>
      </xdr:spPr>
    </xdr:pic>
    <xdr:clientData fLocksWithSheet="0"/>
  </xdr:oneCellAnchor>
  <xdr:oneCellAnchor>
    <xdr:from>
      <xdr:col>0</xdr:col>
      <xdr:colOff>0</xdr:colOff>
      <xdr:row>60</xdr:row>
      <xdr:rowOff>0</xdr:rowOff>
    </xdr:from>
    <xdr:ext cx="200025" cy="200025"/>
    <xdr:pic>
      <xdr:nvPicPr>
        <xdr:cNvPr id="0" name="image202.png"/>
        <xdr:cNvPicPr preferRelativeResize="0"/>
      </xdr:nvPicPr>
      <xdr:blipFill>
        <a:blip cstate="print" r:embed="rId60"/>
        <a:stretch>
          <a:fillRect/>
        </a:stretch>
      </xdr:blipFill>
      <xdr:spPr>
        <a:prstGeom prst="rect">
          <a:avLst/>
        </a:prstGeom>
        <a:noFill/>
      </xdr:spPr>
    </xdr:pic>
    <xdr:clientData fLocksWithSheet="0"/>
  </xdr:oneCellAnchor>
  <xdr:oneCellAnchor>
    <xdr:from>
      <xdr:col>0</xdr:col>
      <xdr:colOff>0</xdr:colOff>
      <xdr:row>61</xdr:row>
      <xdr:rowOff>0</xdr:rowOff>
    </xdr:from>
    <xdr:ext cx="200025" cy="200025"/>
    <xdr:pic>
      <xdr:nvPicPr>
        <xdr:cNvPr id="0" name="image199.png"/>
        <xdr:cNvPicPr preferRelativeResize="0"/>
      </xdr:nvPicPr>
      <xdr:blipFill>
        <a:blip cstate="print" r:embed="rId61"/>
        <a:stretch>
          <a:fillRect/>
        </a:stretch>
      </xdr:blipFill>
      <xdr:spPr>
        <a:prstGeom prst="rect">
          <a:avLst/>
        </a:prstGeom>
        <a:noFill/>
      </xdr:spPr>
    </xdr:pic>
    <xdr:clientData fLocksWithSheet="0"/>
  </xdr:oneCellAnchor>
  <xdr:oneCellAnchor>
    <xdr:from>
      <xdr:col>0</xdr:col>
      <xdr:colOff>0</xdr:colOff>
      <xdr:row>62</xdr:row>
      <xdr:rowOff>0</xdr:rowOff>
    </xdr:from>
    <xdr:ext cx="200025" cy="200025"/>
    <xdr:pic>
      <xdr:nvPicPr>
        <xdr:cNvPr id="0" name="image193.png"/>
        <xdr:cNvPicPr preferRelativeResize="0"/>
      </xdr:nvPicPr>
      <xdr:blipFill>
        <a:blip cstate="print" r:embed="rId62"/>
        <a:stretch>
          <a:fillRect/>
        </a:stretch>
      </xdr:blipFill>
      <xdr:spPr>
        <a:prstGeom prst="rect">
          <a:avLst/>
        </a:prstGeom>
        <a:noFill/>
      </xdr:spPr>
    </xdr:pic>
    <xdr:clientData fLocksWithSheet="0"/>
  </xdr:oneCellAnchor>
  <xdr:oneCellAnchor>
    <xdr:from>
      <xdr:col>0</xdr:col>
      <xdr:colOff>0</xdr:colOff>
      <xdr:row>63</xdr:row>
      <xdr:rowOff>0</xdr:rowOff>
    </xdr:from>
    <xdr:ext cx="200025" cy="200025"/>
    <xdr:pic>
      <xdr:nvPicPr>
        <xdr:cNvPr id="0" name="image192.png"/>
        <xdr:cNvPicPr preferRelativeResize="0"/>
      </xdr:nvPicPr>
      <xdr:blipFill>
        <a:blip cstate="print" r:embed="rId63"/>
        <a:stretch>
          <a:fillRect/>
        </a:stretch>
      </xdr:blipFill>
      <xdr:spPr>
        <a:prstGeom prst="rect">
          <a:avLst/>
        </a:prstGeom>
        <a:noFill/>
      </xdr:spPr>
    </xdr:pic>
    <xdr:clientData fLocksWithSheet="0"/>
  </xdr:oneCellAnchor>
  <xdr:oneCellAnchor>
    <xdr:from>
      <xdr:col>0</xdr:col>
      <xdr:colOff>0</xdr:colOff>
      <xdr:row>64</xdr:row>
      <xdr:rowOff>0</xdr:rowOff>
    </xdr:from>
    <xdr:ext cx="200025" cy="200025"/>
    <xdr:pic>
      <xdr:nvPicPr>
        <xdr:cNvPr id="0" name="image196.png"/>
        <xdr:cNvPicPr preferRelativeResize="0"/>
      </xdr:nvPicPr>
      <xdr:blipFill>
        <a:blip cstate="print" r:embed="rId64"/>
        <a:stretch>
          <a:fillRect/>
        </a:stretch>
      </xdr:blipFill>
      <xdr:spPr>
        <a:prstGeom prst="rect">
          <a:avLst/>
        </a:prstGeom>
        <a:noFill/>
      </xdr:spPr>
    </xdr:pic>
    <xdr:clientData fLocksWithSheet="0"/>
  </xdr:oneCellAnchor>
  <xdr:oneCellAnchor>
    <xdr:from>
      <xdr:col>0</xdr:col>
      <xdr:colOff>0</xdr:colOff>
      <xdr:row>65</xdr:row>
      <xdr:rowOff>0</xdr:rowOff>
    </xdr:from>
    <xdr:ext cx="200025" cy="200025"/>
    <xdr:pic>
      <xdr:nvPicPr>
        <xdr:cNvPr id="0" name="image205.png"/>
        <xdr:cNvPicPr preferRelativeResize="0"/>
      </xdr:nvPicPr>
      <xdr:blipFill>
        <a:blip cstate="print" r:embed="rId65"/>
        <a:stretch>
          <a:fillRect/>
        </a:stretch>
      </xdr:blipFill>
      <xdr:spPr>
        <a:prstGeom prst="rect">
          <a:avLst/>
        </a:prstGeom>
        <a:noFill/>
      </xdr:spPr>
    </xdr:pic>
    <xdr:clientData fLocksWithSheet="0"/>
  </xdr:oneCellAnchor>
  <xdr:oneCellAnchor>
    <xdr:from>
      <xdr:col>0</xdr:col>
      <xdr:colOff>0</xdr:colOff>
      <xdr:row>66</xdr:row>
      <xdr:rowOff>0</xdr:rowOff>
    </xdr:from>
    <xdr:ext cx="200025" cy="200025"/>
    <xdr:pic>
      <xdr:nvPicPr>
        <xdr:cNvPr id="0" name="image198.png"/>
        <xdr:cNvPicPr preferRelativeResize="0"/>
      </xdr:nvPicPr>
      <xdr:blipFill>
        <a:blip cstate="print" r:embed="rId66"/>
        <a:stretch>
          <a:fillRect/>
        </a:stretch>
      </xdr:blipFill>
      <xdr:spPr>
        <a:prstGeom prst="rect">
          <a:avLst/>
        </a:prstGeom>
        <a:noFill/>
      </xdr:spPr>
    </xdr:pic>
    <xdr:clientData fLocksWithSheet="0"/>
  </xdr:oneCellAnchor>
  <xdr:oneCellAnchor>
    <xdr:from>
      <xdr:col>0</xdr:col>
      <xdr:colOff>0</xdr:colOff>
      <xdr:row>67</xdr:row>
      <xdr:rowOff>0</xdr:rowOff>
    </xdr:from>
    <xdr:ext cx="200025" cy="200025"/>
    <xdr:pic>
      <xdr:nvPicPr>
        <xdr:cNvPr id="0" name="image201.png"/>
        <xdr:cNvPicPr preferRelativeResize="0"/>
      </xdr:nvPicPr>
      <xdr:blipFill>
        <a:blip cstate="print" r:embed="rId67"/>
        <a:stretch>
          <a:fillRect/>
        </a:stretch>
      </xdr:blipFill>
      <xdr:spPr>
        <a:prstGeom prst="rect">
          <a:avLst/>
        </a:prstGeom>
        <a:noFill/>
      </xdr:spPr>
    </xdr:pic>
    <xdr:clientData fLocksWithSheet="0"/>
  </xdr:oneCellAnchor>
  <xdr:oneCellAnchor>
    <xdr:from>
      <xdr:col>0</xdr:col>
      <xdr:colOff>0</xdr:colOff>
      <xdr:row>68</xdr:row>
      <xdr:rowOff>0</xdr:rowOff>
    </xdr:from>
    <xdr:ext cx="200025" cy="200025"/>
    <xdr:pic>
      <xdr:nvPicPr>
        <xdr:cNvPr id="0" name="image200.png"/>
        <xdr:cNvPicPr preferRelativeResize="0"/>
      </xdr:nvPicPr>
      <xdr:blipFill>
        <a:blip cstate="print" r:embed="rId68"/>
        <a:stretch>
          <a:fillRect/>
        </a:stretch>
      </xdr:blipFill>
      <xdr:spPr>
        <a:prstGeom prst="rect">
          <a:avLst/>
        </a:prstGeom>
        <a:noFill/>
      </xdr:spPr>
    </xdr:pic>
    <xdr:clientData fLocksWithSheet="0"/>
  </xdr:oneCellAnchor>
  <xdr:oneCellAnchor>
    <xdr:from>
      <xdr:col>0</xdr:col>
      <xdr:colOff>0</xdr:colOff>
      <xdr:row>69</xdr:row>
      <xdr:rowOff>0</xdr:rowOff>
    </xdr:from>
    <xdr:ext cx="200025" cy="200025"/>
    <xdr:pic>
      <xdr:nvPicPr>
        <xdr:cNvPr id="0" name="image203.png"/>
        <xdr:cNvPicPr preferRelativeResize="0"/>
      </xdr:nvPicPr>
      <xdr:blipFill>
        <a:blip cstate="print" r:embed="rId69"/>
        <a:stretch>
          <a:fillRect/>
        </a:stretch>
      </xdr:blipFill>
      <xdr:spPr>
        <a:prstGeom prst="rect">
          <a:avLst/>
        </a:prstGeom>
        <a:noFill/>
      </xdr:spPr>
    </xdr:pic>
    <xdr:clientData fLocksWithSheet="0"/>
  </xdr:oneCellAnchor>
  <xdr:oneCellAnchor>
    <xdr:from>
      <xdr:col>0</xdr:col>
      <xdr:colOff>0</xdr:colOff>
      <xdr:row>70</xdr:row>
      <xdr:rowOff>0</xdr:rowOff>
    </xdr:from>
    <xdr:ext cx="200025" cy="200025"/>
    <xdr:pic>
      <xdr:nvPicPr>
        <xdr:cNvPr id="0" name="image206.png"/>
        <xdr:cNvPicPr preferRelativeResize="0"/>
      </xdr:nvPicPr>
      <xdr:blipFill>
        <a:blip cstate="print" r:embed="rId70"/>
        <a:stretch>
          <a:fillRect/>
        </a:stretch>
      </xdr:blipFill>
      <xdr:spPr>
        <a:prstGeom prst="rect">
          <a:avLst/>
        </a:prstGeom>
        <a:noFill/>
      </xdr:spPr>
    </xdr:pic>
    <xdr:clientData fLocksWithSheet="0"/>
  </xdr:oneCellAnchor>
  <xdr:oneCellAnchor>
    <xdr:from>
      <xdr:col>0</xdr:col>
      <xdr:colOff>0</xdr:colOff>
      <xdr:row>71</xdr:row>
      <xdr:rowOff>0</xdr:rowOff>
    </xdr:from>
    <xdr:ext cx="200025" cy="200025"/>
    <xdr:pic>
      <xdr:nvPicPr>
        <xdr:cNvPr id="0" name="image210.png"/>
        <xdr:cNvPicPr preferRelativeResize="0"/>
      </xdr:nvPicPr>
      <xdr:blipFill>
        <a:blip cstate="print" r:embed="rId71"/>
        <a:stretch>
          <a:fillRect/>
        </a:stretch>
      </xdr:blipFill>
      <xdr:spPr>
        <a:prstGeom prst="rect">
          <a:avLst/>
        </a:prstGeom>
        <a:noFill/>
      </xdr:spPr>
    </xdr:pic>
    <xdr:clientData fLocksWithSheet="0"/>
  </xdr:oneCellAnchor>
  <xdr:oneCellAnchor>
    <xdr:from>
      <xdr:col>0</xdr:col>
      <xdr:colOff>0</xdr:colOff>
      <xdr:row>72</xdr:row>
      <xdr:rowOff>0</xdr:rowOff>
    </xdr:from>
    <xdr:ext cx="200025" cy="200025"/>
    <xdr:pic>
      <xdr:nvPicPr>
        <xdr:cNvPr id="0" name="image204.png"/>
        <xdr:cNvPicPr preferRelativeResize="0"/>
      </xdr:nvPicPr>
      <xdr:blipFill>
        <a:blip cstate="print" r:embed="rId72"/>
        <a:stretch>
          <a:fillRect/>
        </a:stretch>
      </xdr:blipFill>
      <xdr:spPr>
        <a:prstGeom prst="rect">
          <a:avLst/>
        </a:prstGeom>
        <a:noFill/>
      </xdr:spPr>
    </xdr:pic>
    <xdr:clientData fLocksWithSheet="0"/>
  </xdr:oneCellAnchor>
  <xdr:oneCellAnchor>
    <xdr:from>
      <xdr:col>0</xdr:col>
      <xdr:colOff>0</xdr:colOff>
      <xdr:row>73</xdr:row>
      <xdr:rowOff>0</xdr:rowOff>
    </xdr:from>
    <xdr:ext cx="200025" cy="200025"/>
    <xdr:pic>
      <xdr:nvPicPr>
        <xdr:cNvPr id="0" name="image208.png"/>
        <xdr:cNvPicPr preferRelativeResize="0"/>
      </xdr:nvPicPr>
      <xdr:blipFill>
        <a:blip cstate="print" r:embed="rId73"/>
        <a:stretch>
          <a:fillRect/>
        </a:stretch>
      </xdr:blipFill>
      <xdr:spPr>
        <a:prstGeom prst="rect">
          <a:avLst/>
        </a:prstGeom>
        <a:noFill/>
      </xdr:spPr>
    </xdr:pic>
    <xdr:clientData fLocksWithSheet="0"/>
  </xdr:oneCellAnchor>
  <xdr:oneCellAnchor>
    <xdr:from>
      <xdr:col>0</xdr:col>
      <xdr:colOff>0</xdr:colOff>
      <xdr:row>74</xdr:row>
      <xdr:rowOff>0</xdr:rowOff>
    </xdr:from>
    <xdr:ext cx="200025" cy="200025"/>
    <xdr:pic>
      <xdr:nvPicPr>
        <xdr:cNvPr id="0" name="image207.png"/>
        <xdr:cNvPicPr preferRelativeResize="0"/>
      </xdr:nvPicPr>
      <xdr:blipFill>
        <a:blip cstate="print" r:embed="rId74"/>
        <a:stretch>
          <a:fillRect/>
        </a:stretch>
      </xdr:blipFill>
      <xdr:spPr>
        <a:prstGeom prst="rect">
          <a:avLst/>
        </a:prstGeom>
        <a:noFill/>
      </xdr:spPr>
    </xdr:pic>
    <xdr:clientData fLocksWithSheet="0"/>
  </xdr:oneCellAnchor>
  <xdr:oneCellAnchor>
    <xdr:from>
      <xdr:col>0</xdr:col>
      <xdr:colOff>0</xdr:colOff>
      <xdr:row>75</xdr:row>
      <xdr:rowOff>0</xdr:rowOff>
    </xdr:from>
    <xdr:ext cx="200025" cy="200025"/>
    <xdr:pic>
      <xdr:nvPicPr>
        <xdr:cNvPr id="0" name="image230.png"/>
        <xdr:cNvPicPr preferRelativeResize="0"/>
      </xdr:nvPicPr>
      <xdr:blipFill>
        <a:blip cstate="print" r:embed="rId75"/>
        <a:stretch>
          <a:fillRect/>
        </a:stretch>
      </xdr:blipFill>
      <xdr:spPr>
        <a:prstGeom prst="rect">
          <a:avLst/>
        </a:prstGeom>
        <a:noFill/>
      </xdr:spPr>
    </xdr:pic>
    <xdr:clientData fLocksWithSheet="0"/>
  </xdr:oneCellAnchor>
  <xdr:oneCellAnchor>
    <xdr:from>
      <xdr:col>0</xdr:col>
      <xdr:colOff>0</xdr:colOff>
      <xdr:row>76</xdr:row>
      <xdr:rowOff>0</xdr:rowOff>
    </xdr:from>
    <xdr:ext cx="200025" cy="200025"/>
    <xdr:pic>
      <xdr:nvPicPr>
        <xdr:cNvPr id="0" name="image217.png"/>
        <xdr:cNvPicPr preferRelativeResize="0"/>
      </xdr:nvPicPr>
      <xdr:blipFill>
        <a:blip cstate="print" r:embed="rId76"/>
        <a:stretch>
          <a:fillRect/>
        </a:stretch>
      </xdr:blipFill>
      <xdr:spPr>
        <a:prstGeom prst="rect">
          <a:avLst/>
        </a:prstGeom>
        <a:noFill/>
      </xdr:spPr>
    </xdr:pic>
    <xdr:clientData fLocksWithSheet="0"/>
  </xdr:oneCellAnchor>
  <xdr:oneCellAnchor>
    <xdr:from>
      <xdr:col>0</xdr:col>
      <xdr:colOff>0</xdr:colOff>
      <xdr:row>77</xdr:row>
      <xdr:rowOff>0</xdr:rowOff>
    </xdr:from>
    <xdr:ext cx="200025" cy="200025"/>
    <xdr:pic>
      <xdr:nvPicPr>
        <xdr:cNvPr id="0" name="image211.png"/>
        <xdr:cNvPicPr preferRelativeResize="0"/>
      </xdr:nvPicPr>
      <xdr:blipFill>
        <a:blip cstate="print" r:embed="rId77"/>
        <a:stretch>
          <a:fillRect/>
        </a:stretch>
      </xdr:blipFill>
      <xdr:spPr>
        <a:prstGeom prst="rect">
          <a:avLst/>
        </a:prstGeom>
        <a:noFill/>
      </xdr:spPr>
    </xdr:pic>
    <xdr:clientData fLocksWithSheet="0"/>
  </xdr:oneCellAnchor>
  <xdr:oneCellAnchor>
    <xdr:from>
      <xdr:col>0</xdr:col>
      <xdr:colOff>0</xdr:colOff>
      <xdr:row>78</xdr:row>
      <xdr:rowOff>0</xdr:rowOff>
    </xdr:from>
    <xdr:ext cx="200025" cy="200025"/>
    <xdr:pic>
      <xdr:nvPicPr>
        <xdr:cNvPr id="0" name="image260.png"/>
        <xdr:cNvPicPr preferRelativeResize="0"/>
      </xdr:nvPicPr>
      <xdr:blipFill>
        <a:blip cstate="print" r:embed="rId78"/>
        <a:stretch>
          <a:fillRect/>
        </a:stretch>
      </xdr:blipFill>
      <xdr:spPr>
        <a:prstGeom prst="rect">
          <a:avLst/>
        </a:prstGeom>
        <a:noFill/>
      </xdr:spPr>
    </xdr:pic>
    <xdr:clientData fLocksWithSheet="0"/>
  </xdr:oneCellAnchor>
  <xdr:oneCellAnchor>
    <xdr:from>
      <xdr:col>0</xdr:col>
      <xdr:colOff>0</xdr:colOff>
      <xdr:row>79</xdr:row>
      <xdr:rowOff>0</xdr:rowOff>
    </xdr:from>
    <xdr:ext cx="200025" cy="200025"/>
    <xdr:pic>
      <xdr:nvPicPr>
        <xdr:cNvPr id="0" name="image220.png"/>
        <xdr:cNvPicPr preferRelativeResize="0"/>
      </xdr:nvPicPr>
      <xdr:blipFill>
        <a:blip cstate="print" r:embed="rId79"/>
        <a:stretch>
          <a:fillRect/>
        </a:stretch>
      </xdr:blipFill>
      <xdr:spPr>
        <a:prstGeom prst="rect">
          <a:avLst/>
        </a:prstGeom>
        <a:noFill/>
      </xdr:spPr>
    </xdr:pic>
    <xdr:clientData fLocksWithSheet="0"/>
  </xdr:oneCellAnchor>
  <xdr:oneCellAnchor>
    <xdr:from>
      <xdr:col>0</xdr:col>
      <xdr:colOff>0</xdr:colOff>
      <xdr:row>80</xdr:row>
      <xdr:rowOff>0</xdr:rowOff>
    </xdr:from>
    <xdr:ext cx="200025" cy="200025"/>
    <xdr:pic>
      <xdr:nvPicPr>
        <xdr:cNvPr id="0" name="image219.png"/>
        <xdr:cNvPicPr preferRelativeResize="0"/>
      </xdr:nvPicPr>
      <xdr:blipFill>
        <a:blip cstate="print" r:embed="rId80"/>
        <a:stretch>
          <a:fillRect/>
        </a:stretch>
      </xdr:blipFill>
      <xdr:spPr>
        <a:prstGeom prst="rect">
          <a:avLst/>
        </a:prstGeom>
        <a:noFill/>
      </xdr:spPr>
    </xdr:pic>
    <xdr:clientData fLocksWithSheet="0"/>
  </xdr:oneCellAnchor>
  <xdr:oneCellAnchor>
    <xdr:from>
      <xdr:col>0</xdr:col>
      <xdr:colOff>0</xdr:colOff>
      <xdr:row>81</xdr:row>
      <xdr:rowOff>0</xdr:rowOff>
    </xdr:from>
    <xdr:ext cx="200025" cy="200025"/>
    <xdr:pic>
      <xdr:nvPicPr>
        <xdr:cNvPr id="0" name="image216.png"/>
        <xdr:cNvPicPr preferRelativeResize="0"/>
      </xdr:nvPicPr>
      <xdr:blipFill>
        <a:blip cstate="print" r:embed="rId81"/>
        <a:stretch>
          <a:fillRect/>
        </a:stretch>
      </xdr:blipFill>
      <xdr:spPr>
        <a:prstGeom prst="rect">
          <a:avLst/>
        </a:prstGeom>
        <a:noFill/>
      </xdr:spPr>
    </xdr:pic>
    <xdr:clientData fLocksWithSheet="0"/>
  </xdr:oneCellAnchor>
  <xdr:oneCellAnchor>
    <xdr:from>
      <xdr:col>0</xdr:col>
      <xdr:colOff>0</xdr:colOff>
      <xdr:row>82</xdr:row>
      <xdr:rowOff>0</xdr:rowOff>
    </xdr:from>
    <xdr:ext cx="200025" cy="200025"/>
    <xdr:pic>
      <xdr:nvPicPr>
        <xdr:cNvPr id="0" name="image221.png"/>
        <xdr:cNvPicPr preferRelativeResize="0"/>
      </xdr:nvPicPr>
      <xdr:blipFill>
        <a:blip cstate="print" r:embed="rId82"/>
        <a:stretch>
          <a:fillRect/>
        </a:stretch>
      </xdr:blipFill>
      <xdr:spPr>
        <a:prstGeom prst="rect">
          <a:avLst/>
        </a:prstGeom>
        <a:noFill/>
      </xdr:spPr>
    </xdr:pic>
    <xdr:clientData fLocksWithSheet="0"/>
  </xdr:oneCellAnchor>
  <xdr:oneCellAnchor>
    <xdr:from>
      <xdr:col>0</xdr:col>
      <xdr:colOff>0</xdr:colOff>
      <xdr:row>83</xdr:row>
      <xdr:rowOff>0</xdr:rowOff>
    </xdr:from>
    <xdr:ext cx="200025" cy="200025"/>
    <xdr:pic>
      <xdr:nvPicPr>
        <xdr:cNvPr id="0" name="image223.png"/>
        <xdr:cNvPicPr preferRelativeResize="0"/>
      </xdr:nvPicPr>
      <xdr:blipFill>
        <a:blip cstate="print" r:embed="rId83"/>
        <a:stretch>
          <a:fillRect/>
        </a:stretch>
      </xdr:blipFill>
      <xdr:spPr>
        <a:prstGeom prst="rect">
          <a:avLst/>
        </a:prstGeom>
        <a:noFill/>
      </xdr:spPr>
    </xdr:pic>
    <xdr:clientData fLocksWithSheet="0"/>
  </xdr:oneCellAnchor>
  <xdr:oneCellAnchor>
    <xdr:from>
      <xdr:col>0</xdr:col>
      <xdr:colOff>0</xdr:colOff>
      <xdr:row>84</xdr:row>
      <xdr:rowOff>0</xdr:rowOff>
    </xdr:from>
    <xdr:ext cx="200025" cy="200025"/>
    <xdr:pic>
      <xdr:nvPicPr>
        <xdr:cNvPr id="0" name="image213.png"/>
        <xdr:cNvPicPr preferRelativeResize="0"/>
      </xdr:nvPicPr>
      <xdr:blipFill>
        <a:blip cstate="print" r:embed="rId84"/>
        <a:stretch>
          <a:fillRect/>
        </a:stretch>
      </xdr:blipFill>
      <xdr:spPr>
        <a:prstGeom prst="rect">
          <a:avLst/>
        </a:prstGeom>
        <a:noFill/>
      </xdr:spPr>
    </xdr:pic>
    <xdr:clientData fLocksWithSheet="0"/>
  </xdr:oneCellAnchor>
  <xdr:oneCellAnchor>
    <xdr:from>
      <xdr:col>0</xdr:col>
      <xdr:colOff>0</xdr:colOff>
      <xdr:row>85</xdr:row>
      <xdr:rowOff>0</xdr:rowOff>
    </xdr:from>
    <xdr:ext cx="200025" cy="200025"/>
    <xdr:pic>
      <xdr:nvPicPr>
        <xdr:cNvPr id="0" name="image214.png"/>
        <xdr:cNvPicPr preferRelativeResize="0"/>
      </xdr:nvPicPr>
      <xdr:blipFill>
        <a:blip cstate="print" r:embed="rId85"/>
        <a:stretch>
          <a:fillRect/>
        </a:stretch>
      </xdr:blipFill>
      <xdr:spPr>
        <a:prstGeom prst="rect">
          <a:avLst/>
        </a:prstGeom>
        <a:noFill/>
      </xdr:spPr>
    </xdr:pic>
    <xdr:clientData fLocksWithSheet="0"/>
  </xdr:oneCellAnchor>
  <xdr:oneCellAnchor>
    <xdr:from>
      <xdr:col>0</xdr:col>
      <xdr:colOff>0</xdr:colOff>
      <xdr:row>86</xdr:row>
      <xdr:rowOff>0</xdr:rowOff>
    </xdr:from>
    <xdr:ext cx="200025" cy="200025"/>
    <xdr:pic>
      <xdr:nvPicPr>
        <xdr:cNvPr id="0" name="image215.png"/>
        <xdr:cNvPicPr preferRelativeResize="0"/>
      </xdr:nvPicPr>
      <xdr:blipFill>
        <a:blip cstate="print" r:embed="rId86"/>
        <a:stretch>
          <a:fillRect/>
        </a:stretch>
      </xdr:blipFill>
      <xdr:spPr>
        <a:prstGeom prst="rect">
          <a:avLst/>
        </a:prstGeom>
        <a:noFill/>
      </xdr:spPr>
    </xdr:pic>
    <xdr:clientData fLocksWithSheet="0"/>
  </xdr:oneCellAnchor>
  <xdr:oneCellAnchor>
    <xdr:from>
      <xdr:col>0</xdr:col>
      <xdr:colOff>0</xdr:colOff>
      <xdr:row>87</xdr:row>
      <xdr:rowOff>0</xdr:rowOff>
    </xdr:from>
    <xdr:ext cx="200025" cy="200025"/>
    <xdr:pic>
      <xdr:nvPicPr>
        <xdr:cNvPr id="0" name="image218.png"/>
        <xdr:cNvPicPr preferRelativeResize="0"/>
      </xdr:nvPicPr>
      <xdr:blipFill>
        <a:blip cstate="print" r:embed="rId87"/>
        <a:stretch>
          <a:fillRect/>
        </a:stretch>
      </xdr:blipFill>
      <xdr:spPr>
        <a:prstGeom prst="rect">
          <a:avLst/>
        </a:prstGeom>
        <a:noFill/>
      </xdr:spPr>
    </xdr:pic>
    <xdr:clientData fLocksWithSheet="0"/>
  </xdr:oneCellAnchor>
  <xdr:oneCellAnchor>
    <xdr:from>
      <xdr:col>0</xdr:col>
      <xdr:colOff>0</xdr:colOff>
      <xdr:row>88</xdr:row>
      <xdr:rowOff>0</xdr:rowOff>
    </xdr:from>
    <xdr:ext cx="200025" cy="200025"/>
    <xdr:pic>
      <xdr:nvPicPr>
        <xdr:cNvPr id="0" name="image222.png"/>
        <xdr:cNvPicPr preferRelativeResize="0"/>
      </xdr:nvPicPr>
      <xdr:blipFill>
        <a:blip cstate="print" r:embed="rId88"/>
        <a:stretch>
          <a:fillRect/>
        </a:stretch>
      </xdr:blipFill>
      <xdr:spPr>
        <a:prstGeom prst="rect">
          <a:avLst/>
        </a:prstGeom>
        <a:noFill/>
      </xdr:spPr>
    </xdr:pic>
    <xdr:clientData fLocksWithSheet="0"/>
  </xdr:oneCellAnchor>
  <xdr:oneCellAnchor>
    <xdr:from>
      <xdr:col>0</xdr:col>
      <xdr:colOff>0</xdr:colOff>
      <xdr:row>89</xdr:row>
      <xdr:rowOff>0</xdr:rowOff>
    </xdr:from>
    <xdr:ext cx="200025" cy="200025"/>
    <xdr:pic>
      <xdr:nvPicPr>
        <xdr:cNvPr id="0" name="image225.png"/>
        <xdr:cNvPicPr preferRelativeResize="0"/>
      </xdr:nvPicPr>
      <xdr:blipFill>
        <a:blip cstate="print" r:embed="rId89"/>
        <a:stretch>
          <a:fillRect/>
        </a:stretch>
      </xdr:blipFill>
      <xdr:spPr>
        <a:prstGeom prst="rect">
          <a:avLst/>
        </a:prstGeom>
        <a:noFill/>
      </xdr:spPr>
    </xdr:pic>
    <xdr:clientData fLocksWithSheet="0"/>
  </xdr:oneCellAnchor>
  <xdr:oneCellAnchor>
    <xdr:from>
      <xdr:col>0</xdr:col>
      <xdr:colOff>0</xdr:colOff>
      <xdr:row>90</xdr:row>
      <xdr:rowOff>0</xdr:rowOff>
    </xdr:from>
    <xdr:ext cx="200025" cy="200025"/>
    <xdr:pic>
      <xdr:nvPicPr>
        <xdr:cNvPr id="0" name="image224.png"/>
        <xdr:cNvPicPr preferRelativeResize="0"/>
      </xdr:nvPicPr>
      <xdr:blipFill>
        <a:blip cstate="print" r:embed="rId90"/>
        <a:stretch>
          <a:fillRect/>
        </a:stretch>
      </xdr:blipFill>
      <xdr:spPr>
        <a:prstGeom prst="rect">
          <a:avLst/>
        </a:prstGeom>
        <a:noFill/>
      </xdr:spPr>
    </xdr:pic>
    <xdr:clientData fLocksWithSheet="0"/>
  </xdr:oneCellAnchor>
  <xdr:oneCellAnchor>
    <xdr:from>
      <xdr:col>0</xdr:col>
      <xdr:colOff>0</xdr:colOff>
      <xdr:row>91</xdr:row>
      <xdr:rowOff>0</xdr:rowOff>
    </xdr:from>
    <xdr:ext cx="200025" cy="200025"/>
    <xdr:pic>
      <xdr:nvPicPr>
        <xdr:cNvPr id="0" name="image269.png"/>
        <xdr:cNvPicPr preferRelativeResize="0"/>
      </xdr:nvPicPr>
      <xdr:blipFill>
        <a:blip cstate="print" r:embed="rId91"/>
        <a:stretch>
          <a:fillRect/>
        </a:stretch>
      </xdr:blipFill>
      <xdr:spPr>
        <a:prstGeom prst="rect">
          <a:avLst/>
        </a:prstGeom>
        <a:noFill/>
      </xdr:spPr>
    </xdr:pic>
    <xdr:clientData fLocksWithSheet="0"/>
  </xdr:oneCellAnchor>
  <xdr:oneCellAnchor>
    <xdr:from>
      <xdr:col>0</xdr:col>
      <xdr:colOff>0</xdr:colOff>
      <xdr:row>92</xdr:row>
      <xdr:rowOff>0</xdr:rowOff>
    </xdr:from>
    <xdr:ext cx="200025" cy="200025"/>
    <xdr:pic>
      <xdr:nvPicPr>
        <xdr:cNvPr id="0" name="image226.png"/>
        <xdr:cNvPicPr preferRelativeResize="0"/>
      </xdr:nvPicPr>
      <xdr:blipFill>
        <a:blip cstate="print" r:embed="rId92"/>
        <a:stretch>
          <a:fillRect/>
        </a:stretch>
      </xdr:blipFill>
      <xdr:spPr>
        <a:prstGeom prst="rect">
          <a:avLst/>
        </a:prstGeom>
        <a:noFill/>
      </xdr:spPr>
    </xdr:pic>
    <xdr:clientData fLocksWithSheet="0"/>
  </xdr:oneCellAnchor>
  <xdr:oneCellAnchor>
    <xdr:from>
      <xdr:col>0</xdr:col>
      <xdr:colOff>0</xdr:colOff>
      <xdr:row>93</xdr:row>
      <xdr:rowOff>0</xdr:rowOff>
    </xdr:from>
    <xdr:ext cx="200025" cy="200025"/>
    <xdr:pic>
      <xdr:nvPicPr>
        <xdr:cNvPr id="0" name="image249.png"/>
        <xdr:cNvPicPr preferRelativeResize="0"/>
      </xdr:nvPicPr>
      <xdr:blipFill>
        <a:blip cstate="print" r:embed="rId93"/>
        <a:stretch>
          <a:fillRect/>
        </a:stretch>
      </xdr:blipFill>
      <xdr:spPr>
        <a:prstGeom prst="rect">
          <a:avLst/>
        </a:prstGeom>
        <a:noFill/>
      </xdr:spPr>
    </xdr:pic>
    <xdr:clientData fLocksWithSheet="0"/>
  </xdr:oneCellAnchor>
  <xdr:oneCellAnchor>
    <xdr:from>
      <xdr:col>0</xdr:col>
      <xdr:colOff>0</xdr:colOff>
      <xdr:row>94</xdr:row>
      <xdr:rowOff>0</xdr:rowOff>
    </xdr:from>
    <xdr:ext cx="200025" cy="200025"/>
    <xdr:pic>
      <xdr:nvPicPr>
        <xdr:cNvPr id="0" name="image227.png"/>
        <xdr:cNvPicPr preferRelativeResize="0"/>
      </xdr:nvPicPr>
      <xdr:blipFill>
        <a:blip cstate="print" r:embed="rId94"/>
        <a:stretch>
          <a:fillRect/>
        </a:stretch>
      </xdr:blipFill>
      <xdr:spPr>
        <a:prstGeom prst="rect">
          <a:avLst/>
        </a:prstGeom>
        <a:noFill/>
      </xdr:spPr>
    </xdr:pic>
    <xdr:clientData fLocksWithSheet="0"/>
  </xdr:oneCellAnchor>
  <xdr:oneCellAnchor>
    <xdr:from>
      <xdr:col>0</xdr:col>
      <xdr:colOff>0</xdr:colOff>
      <xdr:row>95</xdr:row>
      <xdr:rowOff>0</xdr:rowOff>
    </xdr:from>
    <xdr:ext cx="200025" cy="200025"/>
    <xdr:pic>
      <xdr:nvPicPr>
        <xdr:cNvPr id="0" name="image231.png"/>
        <xdr:cNvPicPr preferRelativeResize="0"/>
      </xdr:nvPicPr>
      <xdr:blipFill>
        <a:blip cstate="print" r:embed="rId95"/>
        <a:stretch>
          <a:fillRect/>
        </a:stretch>
      </xdr:blipFill>
      <xdr:spPr>
        <a:prstGeom prst="rect">
          <a:avLst/>
        </a:prstGeom>
        <a:noFill/>
      </xdr:spPr>
    </xdr:pic>
    <xdr:clientData fLocksWithSheet="0"/>
  </xdr:oneCellAnchor>
  <xdr:oneCellAnchor>
    <xdr:from>
      <xdr:col>0</xdr:col>
      <xdr:colOff>0</xdr:colOff>
      <xdr:row>96</xdr:row>
      <xdr:rowOff>0</xdr:rowOff>
    </xdr:from>
    <xdr:ext cx="200025" cy="200025"/>
    <xdr:pic>
      <xdr:nvPicPr>
        <xdr:cNvPr id="0" name="image331.png"/>
        <xdr:cNvPicPr preferRelativeResize="0"/>
      </xdr:nvPicPr>
      <xdr:blipFill>
        <a:blip cstate="print" r:embed="rId96"/>
        <a:stretch>
          <a:fillRect/>
        </a:stretch>
      </xdr:blipFill>
      <xdr:spPr>
        <a:prstGeom prst="rect">
          <a:avLst/>
        </a:prstGeom>
        <a:noFill/>
      </xdr:spPr>
    </xdr:pic>
    <xdr:clientData fLocksWithSheet="0"/>
  </xdr:oneCellAnchor>
  <xdr:oneCellAnchor>
    <xdr:from>
      <xdr:col>0</xdr:col>
      <xdr:colOff>0</xdr:colOff>
      <xdr:row>97</xdr:row>
      <xdr:rowOff>0</xdr:rowOff>
    </xdr:from>
    <xdr:ext cx="200025" cy="200025"/>
    <xdr:pic>
      <xdr:nvPicPr>
        <xdr:cNvPr id="0" name="image229.png"/>
        <xdr:cNvPicPr preferRelativeResize="0"/>
      </xdr:nvPicPr>
      <xdr:blipFill>
        <a:blip cstate="print" r:embed="rId97"/>
        <a:stretch>
          <a:fillRect/>
        </a:stretch>
      </xdr:blipFill>
      <xdr:spPr>
        <a:prstGeom prst="rect">
          <a:avLst/>
        </a:prstGeom>
        <a:noFill/>
      </xdr:spPr>
    </xdr:pic>
    <xdr:clientData fLocksWithSheet="0"/>
  </xdr:oneCellAnchor>
  <xdr:oneCellAnchor>
    <xdr:from>
      <xdr:col>0</xdr:col>
      <xdr:colOff>0</xdr:colOff>
      <xdr:row>98</xdr:row>
      <xdr:rowOff>0</xdr:rowOff>
    </xdr:from>
    <xdr:ext cx="200025" cy="200025"/>
    <xdr:pic>
      <xdr:nvPicPr>
        <xdr:cNvPr id="0" name="image228.png"/>
        <xdr:cNvPicPr preferRelativeResize="0"/>
      </xdr:nvPicPr>
      <xdr:blipFill>
        <a:blip cstate="print" r:embed="rId98"/>
        <a:stretch>
          <a:fillRect/>
        </a:stretch>
      </xdr:blipFill>
      <xdr:spPr>
        <a:prstGeom prst="rect">
          <a:avLst/>
        </a:prstGeom>
        <a:noFill/>
      </xdr:spPr>
    </xdr:pic>
    <xdr:clientData fLocksWithSheet="0"/>
  </xdr:oneCellAnchor>
  <xdr:oneCellAnchor>
    <xdr:from>
      <xdr:col>0</xdr:col>
      <xdr:colOff>0</xdr:colOff>
      <xdr:row>99</xdr:row>
      <xdr:rowOff>0</xdr:rowOff>
    </xdr:from>
    <xdr:ext cx="200025" cy="200025"/>
    <xdr:pic>
      <xdr:nvPicPr>
        <xdr:cNvPr id="0" name="image233.png"/>
        <xdr:cNvPicPr preferRelativeResize="0"/>
      </xdr:nvPicPr>
      <xdr:blipFill>
        <a:blip cstate="print" r:embed="rId99"/>
        <a:stretch>
          <a:fillRect/>
        </a:stretch>
      </xdr:blipFill>
      <xdr:spPr>
        <a:prstGeom prst="rect">
          <a:avLst/>
        </a:prstGeom>
        <a:noFill/>
      </xdr:spPr>
    </xdr:pic>
    <xdr:clientData fLocksWithSheet="0"/>
  </xdr:oneCellAnchor>
  <xdr:oneCellAnchor>
    <xdr:from>
      <xdr:col>0</xdr:col>
      <xdr:colOff>0</xdr:colOff>
      <xdr:row>100</xdr:row>
      <xdr:rowOff>0</xdr:rowOff>
    </xdr:from>
    <xdr:ext cx="200025" cy="200025"/>
    <xdr:pic>
      <xdr:nvPicPr>
        <xdr:cNvPr id="0" name="image234.png"/>
        <xdr:cNvPicPr preferRelativeResize="0"/>
      </xdr:nvPicPr>
      <xdr:blipFill>
        <a:blip cstate="print" r:embed="rId100"/>
        <a:stretch>
          <a:fillRect/>
        </a:stretch>
      </xdr:blipFill>
      <xdr:spPr>
        <a:prstGeom prst="rect">
          <a:avLst/>
        </a:prstGeom>
        <a:noFill/>
      </xdr:spPr>
    </xdr:pic>
    <xdr:clientData fLocksWithSheet="0"/>
  </xdr:oneCellAnchor>
  <xdr:oneCellAnchor>
    <xdr:from>
      <xdr:col>0</xdr:col>
      <xdr:colOff>0</xdr:colOff>
      <xdr:row>101</xdr:row>
      <xdr:rowOff>0</xdr:rowOff>
    </xdr:from>
    <xdr:ext cx="200025" cy="200025"/>
    <xdr:pic>
      <xdr:nvPicPr>
        <xdr:cNvPr id="0" name="image235.png"/>
        <xdr:cNvPicPr preferRelativeResize="0"/>
      </xdr:nvPicPr>
      <xdr:blipFill>
        <a:blip cstate="print" r:embed="rId101"/>
        <a:stretch>
          <a:fillRect/>
        </a:stretch>
      </xdr:blipFill>
      <xdr:spPr>
        <a:prstGeom prst="rect">
          <a:avLst/>
        </a:prstGeom>
        <a:noFill/>
      </xdr:spPr>
    </xdr:pic>
    <xdr:clientData fLocksWithSheet="0"/>
  </xdr:oneCellAnchor>
  <xdr:oneCellAnchor>
    <xdr:from>
      <xdr:col>0</xdr:col>
      <xdr:colOff>0</xdr:colOff>
      <xdr:row>102</xdr:row>
      <xdr:rowOff>0</xdr:rowOff>
    </xdr:from>
    <xdr:ext cx="200025" cy="200025"/>
    <xdr:pic>
      <xdr:nvPicPr>
        <xdr:cNvPr id="0" name="image236.png"/>
        <xdr:cNvPicPr preferRelativeResize="0"/>
      </xdr:nvPicPr>
      <xdr:blipFill>
        <a:blip cstate="print" r:embed="rId102"/>
        <a:stretch>
          <a:fillRect/>
        </a:stretch>
      </xdr:blipFill>
      <xdr:spPr>
        <a:prstGeom prst="rect">
          <a:avLst/>
        </a:prstGeom>
        <a:noFill/>
      </xdr:spPr>
    </xdr:pic>
    <xdr:clientData fLocksWithSheet="0"/>
  </xdr:oneCellAnchor>
  <xdr:oneCellAnchor>
    <xdr:from>
      <xdr:col>0</xdr:col>
      <xdr:colOff>0</xdr:colOff>
      <xdr:row>103</xdr:row>
      <xdr:rowOff>0</xdr:rowOff>
    </xdr:from>
    <xdr:ext cx="200025" cy="200025"/>
    <xdr:pic>
      <xdr:nvPicPr>
        <xdr:cNvPr id="0" name="image232.png"/>
        <xdr:cNvPicPr preferRelativeResize="0"/>
      </xdr:nvPicPr>
      <xdr:blipFill>
        <a:blip cstate="print" r:embed="rId103"/>
        <a:stretch>
          <a:fillRect/>
        </a:stretch>
      </xdr:blipFill>
      <xdr:spPr>
        <a:prstGeom prst="rect">
          <a:avLst/>
        </a:prstGeom>
        <a:noFill/>
      </xdr:spPr>
    </xdr:pic>
    <xdr:clientData fLocksWithSheet="0"/>
  </xdr:oneCellAnchor>
  <xdr:oneCellAnchor>
    <xdr:from>
      <xdr:col>0</xdr:col>
      <xdr:colOff>0</xdr:colOff>
      <xdr:row>104</xdr:row>
      <xdr:rowOff>0</xdr:rowOff>
    </xdr:from>
    <xdr:ext cx="200025" cy="200025"/>
    <xdr:pic>
      <xdr:nvPicPr>
        <xdr:cNvPr id="0" name="image237.png"/>
        <xdr:cNvPicPr preferRelativeResize="0"/>
      </xdr:nvPicPr>
      <xdr:blipFill>
        <a:blip cstate="print" r:embed="rId104"/>
        <a:stretch>
          <a:fillRect/>
        </a:stretch>
      </xdr:blipFill>
      <xdr:spPr>
        <a:prstGeom prst="rect">
          <a:avLst/>
        </a:prstGeom>
        <a:noFill/>
      </xdr:spPr>
    </xdr:pic>
    <xdr:clientData fLocksWithSheet="0"/>
  </xdr:oneCellAnchor>
  <xdr:oneCellAnchor>
    <xdr:from>
      <xdr:col>0</xdr:col>
      <xdr:colOff>0</xdr:colOff>
      <xdr:row>105</xdr:row>
      <xdr:rowOff>0</xdr:rowOff>
    </xdr:from>
    <xdr:ext cx="200025" cy="200025"/>
    <xdr:pic>
      <xdr:nvPicPr>
        <xdr:cNvPr id="0" name="image239.png"/>
        <xdr:cNvPicPr preferRelativeResize="0"/>
      </xdr:nvPicPr>
      <xdr:blipFill>
        <a:blip cstate="print" r:embed="rId105"/>
        <a:stretch>
          <a:fillRect/>
        </a:stretch>
      </xdr:blipFill>
      <xdr:spPr>
        <a:prstGeom prst="rect">
          <a:avLst/>
        </a:prstGeom>
        <a:noFill/>
      </xdr:spPr>
    </xdr:pic>
    <xdr:clientData fLocksWithSheet="0"/>
  </xdr:oneCellAnchor>
  <xdr:oneCellAnchor>
    <xdr:from>
      <xdr:col>0</xdr:col>
      <xdr:colOff>0</xdr:colOff>
      <xdr:row>106</xdr:row>
      <xdr:rowOff>0</xdr:rowOff>
    </xdr:from>
    <xdr:ext cx="200025" cy="200025"/>
    <xdr:pic>
      <xdr:nvPicPr>
        <xdr:cNvPr id="0" name="image240.png"/>
        <xdr:cNvPicPr preferRelativeResize="0"/>
      </xdr:nvPicPr>
      <xdr:blipFill>
        <a:blip cstate="print" r:embed="rId106"/>
        <a:stretch>
          <a:fillRect/>
        </a:stretch>
      </xdr:blipFill>
      <xdr:spPr>
        <a:prstGeom prst="rect">
          <a:avLst/>
        </a:prstGeom>
        <a:noFill/>
      </xdr:spPr>
    </xdr:pic>
    <xdr:clientData fLocksWithSheet="0"/>
  </xdr:oneCellAnchor>
  <xdr:oneCellAnchor>
    <xdr:from>
      <xdr:col>0</xdr:col>
      <xdr:colOff>0</xdr:colOff>
      <xdr:row>107</xdr:row>
      <xdr:rowOff>0</xdr:rowOff>
    </xdr:from>
    <xdr:ext cx="200025" cy="200025"/>
    <xdr:pic>
      <xdr:nvPicPr>
        <xdr:cNvPr id="0" name="image238.png"/>
        <xdr:cNvPicPr preferRelativeResize="0"/>
      </xdr:nvPicPr>
      <xdr:blipFill>
        <a:blip cstate="print" r:embed="rId107"/>
        <a:stretch>
          <a:fillRect/>
        </a:stretch>
      </xdr:blipFill>
      <xdr:spPr>
        <a:prstGeom prst="rect">
          <a:avLst/>
        </a:prstGeom>
        <a:noFill/>
      </xdr:spPr>
    </xdr:pic>
    <xdr:clientData fLocksWithSheet="0"/>
  </xdr:oneCellAnchor>
  <xdr:oneCellAnchor>
    <xdr:from>
      <xdr:col>0</xdr:col>
      <xdr:colOff>0</xdr:colOff>
      <xdr:row>108</xdr:row>
      <xdr:rowOff>0</xdr:rowOff>
    </xdr:from>
    <xdr:ext cx="200025" cy="200025"/>
    <xdr:pic>
      <xdr:nvPicPr>
        <xdr:cNvPr id="0" name="image245.png"/>
        <xdr:cNvPicPr preferRelativeResize="0"/>
      </xdr:nvPicPr>
      <xdr:blipFill>
        <a:blip cstate="print" r:embed="rId108"/>
        <a:stretch>
          <a:fillRect/>
        </a:stretch>
      </xdr:blipFill>
      <xdr:spPr>
        <a:prstGeom prst="rect">
          <a:avLst/>
        </a:prstGeom>
        <a:noFill/>
      </xdr:spPr>
    </xdr:pic>
    <xdr:clientData fLocksWithSheet="0"/>
  </xdr:oneCellAnchor>
  <xdr:oneCellAnchor>
    <xdr:from>
      <xdr:col>0</xdr:col>
      <xdr:colOff>0</xdr:colOff>
      <xdr:row>109</xdr:row>
      <xdr:rowOff>0</xdr:rowOff>
    </xdr:from>
    <xdr:ext cx="200025" cy="200025"/>
    <xdr:pic>
      <xdr:nvPicPr>
        <xdr:cNvPr id="0" name="image246.png"/>
        <xdr:cNvPicPr preferRelativeResize="0"/>
      </xdr:nvPicPr>
      <xdr:blipFill>
        <a:blip cstate="print" r:embed="rId109"/>
        <a:stretch>
          <a:fillRect/>
        </a:stretch>
      </xdr:blipFill>
      <xdr:spPr>
        <a:prstGeom prst="rect">
          <a:avLst/>
        </a:prstGeom>
        <a:noFill/>
      </xdr:spPr>
    </xdr:pic>
    <xdr:clientData fLocksWithSheet="0"/>
  </xdr:oneCellAnchor>
  <xdr:oneCellAnchor>
    <xdr:from>
      <xdr:col>0</xdr:col>
      <xdr:colOff>0</xdr:colOff>
      <xdr:row>110</xdr:row>
      <xdr:rowOff>0</xdr:rowOff>
    </xdr:from>
    <xdr:ext cx="200025" cy="200025"/>
    <xdr:pic>
      <xdr:nvPicPr>
        <xdr:cNvPr id="0" name="image242.png"/>
        <xdr:cNvPicPr preferRelativeResize="0"/>
      </xdr:nvPicPr>
      <xdr:blipFill>
        <a:blip cstate="print" r:embed="rId110"/>
        <a:stretch>
          <a:fillRect/>
        </a:stretch>
      </xdr:blipFill>
      <xdr:spPr>
        <a:prstGeom prst="rect">
          <a:avLst/>
        </a:prstGeom>
        <a:noFill/>
      </xdr:spPr>
    </xdr:pic>
    <xdr:clientData fLocksWithSheet="0"/>
  </xdr:oneCellAnchor>
  <xdr:oneCellAnchor>
    <xdr:from>
      <xdr:col>0</xdr:col>
      <xdr:colOff>0</xdr:colOff>
      <xdr:row>111</xdr:row>
      <xdr:rowOff>0</xdr:rowOff>
    </xdr:from>
    <xdr:ext cx="200025" cy="200025"/>
    <xdr:pic>
      <xdr:nvPicPr>
        <xdr:cNvPr id="0" name="image241.png"/>
        <xdr:cNvPicPr preferRelativeResize="0"/>
      </xdr:nvPicPr>
      <xdr:blipFill>
        <a:blip cstate="print" r:embed="rId111"/>
        <a:stretch>
          <a:fillRect/>
        </a:stretch>
      </xdr:blipFill>
      <xdr:spPr>
        <a:prstGeom prst="rect">
          <a:avLst/>
        </a:prstGeom>
        <a:noFill/>
      </xdr:spPr>
    </xdr:pic>
    <xdr:clientData fLocksWithSheet="0"/>
  </xdr:oneCellAnchor>
  <xdr:oneCellAnchor>
    <xdr:from>
      <xdr:col>0</xdr:col>
      <xdr:colOff>0</xdr:colOff>
      <xdr:row>112</xdr:row>
      <xdr:rowOff>0</xdr:rowOff>
    </xdr:from>
    <xdr:ext cx="200025" cy="200025"/>
    <xdr:pic>
      <xdr:nvPicPr>
        <xdr:cNvPr id="0" name="image248.png"/>
        <xdr:cNvPicPr preferRelativeResize="0"/>
      </xdr:nvPicPr>
      <xdr:blipFill>
        <a:blip cstate="print" r:embed="rId112"/>
        <a:stretch>
          <a:fillRect/>
        </a:stretch>
      </xdr:blipFill>
      <xdr:spPr>
        <a:prstGeom prst="rect">
          <a:avLst/>
        </a:prstGeom>
        <a:noFill/>
      </xdr:spPr>
    </xdr:pic>
    <xdr:clientData fLocksWithSheet="0"/>
  </xdr:oneCellAnchor>
  <xdr:oneCellAnchor>
    <xdr:from>
      <xdr:col>0</xdr:col>
      <xdr:colOff>0</xdr:colOff>
      <xdr:row>113</xdr:row>
      <xdr:rowOff>0</xdr:rowOff>
    </xdr:from>
    <xdr:ext cx="200025" cy="200025"/>
    <xdr:pic>
      <xdr:nvPicPr>
        <xdr:cNvPr id="0" name="image243.png"/>
        <xdr:cNvPicPr preferRelativeResize="0"/>
      </xdr:nvPicPr>
      <xdr:blipFill>
        <a:blip cstate="print" r:embed="rId113"/>
        <a:stretch>
          <a:fillRect/>
        </a:stretch>
      </xdr:blipFill>
      <xdr:spPr>
        <a:prstGeom prst="rect">
          <a:avLst/>
        </a:prstGeom>
        <a:noFill/>
      </xdr:spPr>
    </xdr:pic>
    <xdr:clientData fLocksWithSheet="0"/>
  </xdr:oneCellAnchor>
  <xdr:oneCellAnchor>
    <xdr:from>
      <xdr:col>0</xdr:col>
      <xdr:colOff>0</xdr:colOff>
      <xdr:row>114</xdr:row>
      <xdr:rowOff>0</xdr:rowOff>
    </xdr:from>
    <xdr:ext cx="200025" cy="200025"/>
    <xdr:pic>
      <xdr:nvPicPr>
        <xdr:cNvPr id="0" name="image254.png"/>
        <xdr:cNvPicPr preferRelativeResize="0"/>
      </xdr:nvPicPr>
      <xdr:blipFill>
        <a:blip cstate="print" r:embed="rId114"/>
        <a:stretch>
          <a:fillRect/>
        </a:stretch>
      </xdr:blipFill>
      <xdr:spPr>
        <a:prstGeom prst="rect">
          <a:avLst/>
        </a:prstGeom>
        <a:noFill/>
      </xdr:spPr>
    </xdr:pic>
    <xdr:clientData fLocksWithSheet="0"/>
  </xdr:oneCellAnchor>
  <xdr:oneCellAnchor>
    <xdr:from>
      <xdr:col>0</xdr:col>
      <xdr:colOff>0</xdr:colOff>
      <xdr:row>115</xdr:row>
      <xdr:rowOff>0</xdr:rowOff>
    </xdr:from>
    <xdr:ext cx="200025" cy="200025"/>
    <xdr:pic>
      <xdr:nvPicPr>
        <xdr:cNvPr id="0" name="image244.png"/>
        <xdr:cNvPicPr preferRelativeResize="0"/>
      </xdr:nvPicPr>
      <xdr:blipFill>
        <a:blip cstate="print" r:embed="rId115"/>
        <a:stretch>
          <a:fillRect/>
        </a:stretch>
      </xdr:blipFill>
      <xdr:spPr>
        <a:prstGeom prst="rect">
          <a:avLst/>
        </a:prstGeom>
        <a:noFill/>
      </xdr:spPr>
    </xdr:pic>
    <xdr:clientData fLocksWithSheet="0"/>
  </xdr:oneCellAnchor>
  <xdr:oneCellAnchor>
    <xdr:from>
      <xdr:col>0</xdr:col>
      <xdr:colOff>0</xdr:colOff>
      <xdr:row>116</xdr:row>
      <xdr:rowOff>0</xdr:rowOff>
    </xdr:from>
    <xdr:ext cx="200025" cy="200025"/>
    <xdr:pic>
      <xdr:nvPicPr>
        <xdr:cNvPr id="0" name="image247.png"/>
        <xdr:cNvPicPr preferRelativeResize="0"/>
      </xdr:nvPicPr>
      <xdr:blipFill>
        <a:blip cstate="print" r:embed="rId116"/>
        <a:stretch>
          <a:fillRect/>
        </a:stretch>
      </xdr:blipFill>
      <xdr:spPr>
        <a:prstGeom prst="rect">
          <a:avLst/>
        </a:prstGeom>
        <a:noFill/>
      </xdr:spPr>
    </xdr:pic>
    <xdr:clientData fLocksWithSheet="0"/>
  </xdr:oneCellAnchor>
  <xdr:oneCellAnchor>
    <xdr:from>
      <xdr:col>0</xdr:col>
      <xdr:colOff>0</xdr:colOff>
      <xdr:row>117</xdr:row>
      <xdr:rowOff>0</xdr:rowOff>
    </xdr:from>
    <xdr:ext cx="200025" cy="200025"/>
    <xdr:pic>
      <xdr:nvPicPr>
        <xdr:cNvPr id="0" name="image257.png"/>
        <xdr:cNvPicPr preferRelativeResize="0"/>
      </xdr:nvPicPr>
      <xdr:blipFill>
        <a:blip cstate="print" r:embed="rId117"/>
        <a:stretch>
          <a:fillRect/>
        </a:stretch>
      </xdr:blipFill>
      <xdr:spPr>
        <a:prstGeom prst="rect">
          <a:avLst/>
        </a:prstGeom>
        <a:noFill/>
      </xdr:spPr>
    </xdr:pic>
    <xdr:clientData fLocksWithSheet="0"/>
  </xdr:oneCellAnchor>
  <xdr:oneCellAnchor>
    <xdr:from>
      <xdr:col>0</xdr:col>
      <xdr:colOff>0</xdr:colOff>
      <xdr:row>118</xdr:row>
      <xdr:rowOff>0</xdr:rowOff>
    </xdr:from>
    <xdr:ext cx="200025" cy="200025"/>
    <xdr:pic>
      <xdr:nvPicPr>
        <xdr:cNvPr id="0" name="image252.png"/>
        <xdr:cNvPicPr preferRelativeResize="0"/>
      </xdr:nvPicPr>
      <xdr:blipFill>
        <a:blip cstate="print" r:embed="rId118"/>
        <a:stretch>
          <a:fillRect/>
        </a:stretch>
      </xdr:blipFill>
      <xdr:spPr>
        <a:prstGeom prst="rect">
          <a:avLst/>
        </a:prstGeom>
        <a:noFill/>
      </xdr:spPr>
    </xdr:pic>
    <xdr:clientData fLocksWithSheet="0"/>
  </xdr:oneCellAnchor>
  <xdr:oneCellAnchor>
    <xdr:from>
      <xdr:col>0</xdr:col>
      <xdr:colOff>0</xdr:colOff>
      <xdr:row>119</xdr:row>
      <xdr:rowOff>0</xdr:rowOff>
    </xdr:from>
    <xdr:ext cx="200025" cy="200025"/>
    <xdr:pic>
      <xdr:nvPicPr>
        <xdr:cNvPr id="0" name="image251.png"/>
        <xdr:cNvPicPr preferRelativeResize="0"/>
      </xdr:nvPicPr>
      <xdr:blipFill>
        <a:blip cstate="print" r:embed="rId119"/>
        <a:stretch>
          <a:fillRect/>
        </a:stretch>
      </xdr:blipFill>
      <xdr:spPr>
        <a:prstGeom prst="rect">
          <a:avLst/>
        </a:prstGeom>
        <a:noFill/>
      </xdr:spPr>
    </xdr:pic>
    <xdr:clientData fLocksWithSheet="0"/>
  </xdr:oneCellAnchor>
  <xdr:oneCellAnchor>
    <xdr:from>
      <xdr:col>0</xdr:col>
      <xdr:colOff>0</xdr:colOff>
      <xdr:row>120</xdr:row>
      <xdr:rowOff>0</xdr:rowOff>
    </xdr:from>
    <xdr:ext cx="200025" cy="200025"/>
    <xdr:pic>
      <xdr:nvPicPr>
        <xdr:cNvPr id="0" name="image258.png"/>
        <xdr:cNvPicPr preferRelativeResize="0"/>
      </xdr:nvPicPr>
      <xdr:blipFill>
        <a:blip cstate="print" r:embed="rId120"/>
        <a:stretch>
          <a:fillRect/>
        </a:stretch>
      </xdr:blipFill>
      <xdr:spPr>
        <a:prstGeom prst="rect">
          <a:avLst/>
        </a:prstGeom>
        <a:noFill/>
      </xdr:spPr>
    </xdr:pic>
    <xdr:clientData fLocksWithSheet="0"/>
  </xdr:oneCellAnchor>
  <xdr:oneCellAnchor>
    <xdr:from>
      <xdr:col>0</xdr:col>
      <xdr:colOff>0</xdr:colOff>
      <xdr:row>121</xdr:row>
      <xdr:rowOff>0</xdr:rowOff>
    </xdr:from>
    <xdr:ext cx="200025" cy="200025"/>
    <xdr:pic>
      <xdr:nvPicPr>
        <xdr:cNvPr id="0" name="image255.png"/>
        <xdr:cNvPicPr preferRelativeResize="0"/>
      </xdr:nvPicPr>
      <xdr:blipFill>
        <a:blip cstate="print" r:embed="rId121"/>
        <a:stretch>
          <a:fillRect/>
        </a:stretch>
      </xdr:blipFill>
      <xdr:spPr>
        <a:prstGeom prst="rect">
          <a:avLst/>
        </a:prstGeom>
        <a:noFill/>
      </xdr:spPr>
    </xdr:pic>
    <xdr:clientData fLocksWithSheet="0"/>
  </xdr:oneCellAnchor>
  <xdr:oneCellAnchor>
    <xdr:from>
      <xdr:col>0</xdr:col>
      <xdr:colOff>0</xdr:colOff>
      <xdr:row>122</xdr:row>
      <xdr:rowOff>0</xdr:rowOff>
    </xdr:from>
    <xdr:ext cx="200025" cy="200025"/>
    <xdr:pic>
      <xdr:nvPicPr>
        <xdr:cNvPr id="0" name="image250.png"/>
        <xdr:cNvPicPr preferRelativeResize="0"/>
      </xdr:nvPicPr>
      <xdr:blipFill>
        <a:blip cstate="print" r:embed="rId122"/>
        <a:stretch>
          <a:fillRect/>
        </a:stretch>
      </xdr:blipFill>
      <xdr:spPr>
        <a:prstGeom prst="rect">
          <a:avLst/>
        </a:prstGeom>
        <a:noFill/>
      </xdr:spPr>
    </xdr:pic>
    <xdr:clientData fLocksWithSheet="0"/>
  </xdr:oneCellAnchor>
  <xdr:oneCellAnchor>
    <xdr:from>
      <xdr:col>0</xdr:col>
      <xdr:colOff>0</xdr:colOff>
      <xdr:row>123</xdr:row>
      <xdr:rowOff>0</xdr:rowOff>
    </xdr:from>
    <xdr:ext cx="200025" cy="200025"/>
    <xdr:pic>
      <xdr:nvPicPr>
        <xdr:cNvPr id="0" name="image276.png"/>
        <xdr:cNvPicPr preferRelativeResize="0"/>
      </xdr:nvPicPr>
      <xdr:blipFill>
        <a:blip cstate="print" r:embed="rId123"/>
        <a:stretch>
          <a:fillRect/>
        </a:stretch>
      </xdr:blipFill>
      <xdr:spPr>
        <a:prstGeom prst="rect">
          <a:avLst/>
        </a:prstGeom>
        <a:noFill/>
      </xdr:spPr>
    </xdr:pic>
    <xdr:clientData fLocksWithSheet="0"/>
  </xdr:oneCellAnchor>
  <xdr:oneCellAnchor>
    <xdr:from>
      <xdr:col>0</xdr:col>
      <xdr:colOff>0</xdr:colOff>
      <xdr:row>124</xdr:row>
      <xdr:rowOff>0</xdr:rowOff>
    </xdr:from>
    <xdr:ext cx="200025" cy="200025"/>
    <xdr:pic>
      <xdr:nvPicPr>
        <xdr:cNvPr id="0" name="image253.png"/>
        <xdr:cNvPicPr preferRelativeResize="0"/>
      </xdr:nvPicPr>
      <xdr:blipFill>
        <a:blip cstate="print" r:embed="rId124"/>
        <a:stretch>
          <a:fillRect/>
        </a:stretch>
      </xdr:blipFill>
      <xdr:spPr>
        <a:prstGeom prst="rect">
          <a:avLst/>
        </a:prstGeom>
        <a:noFill/>
      </xdr:spPr>
    </xdr:pic>
    <xdr:clientData fLocksWithSheet="0"/>
  </xdr:oneCellAnchor>
  <xdr:oneCellAnchor>
    <xdr:from>
      <xdr:col>0</xdr:col>
      <xdr:colOff>0</xdr:colOff>
      <xdr:row>125</xdr:row>
      <xdr:rowOff>0</xdr:rowOff>
    </xdr:from>
    <xdr:ext cx="200025" cy="200025"/>
    <xdr:pic>
      <xdr:nvPicPr>
        <xdr:cNvPr id="0" name="image259.png"/>
        <xdr:cNvPicPr preferRelativeResize="0"/>
      </xdr:nvPicPr>
      <xdr:blipFill>
        <a:blip cstate="print" r:embed="rId125"/>
        <a:stretch>
          <a:fillRect/>
        </a:stretch>
      </xdr:blipFill>
      <xdr:spPr>
        <a:prstGeom prst="rect">
          <a:avLst/>
        </a:prstGeom>
        <a:noFill/>
      </xdr:spPr>
    </xdr:pic>
    <xdr:clientData fLocksWithSheet="0"/>
  </xdr:oneCellAnchor>
  <xdr:oneCellAnchor>
    <xdr:from>
      <xdr:col>0</xdr:col>
      <xdr:colOff>0</xdr:colOff>
      <xdr:row>126</xdr:row>
      <xdr:rowOff>0</xdr:rowOff>
    </xdr:from>
    <xdr:ext cx="200025" cy="200025"/>
    <xdr:pic>
      <xdr:nvPicPr>
        <xdr:cNvPr id="0" name="image256.png"/>
        <xdr:cNvPicPr preferRelativeResize="0"/>
      </xdr:nvPicPr>
      <xdr:blipFill>
        <a:blip cstate="print" r:embed="rId126"/>
        <a:stretch>
          <a:fillRect/>
        </a:stretch>
      </xdr:blipFill>
      <xdr:spPr>
        <a:prstGeom prst="rect">
          <a:avLst/>
        </a:prstGeom>
        <a:noFill/>
      </xdr:spPr>
    </xdr:pic>
    <xdr:clientData fLocksWithSheet="0"/>
  </xdr:oneCellAnchor>
  <xdr:oneCellAnchor>
    <xdr:from>
      <xdr:col>0</xdr:col>
      <xdr:colOff>0</xdr:colOff>
      <xdr:row>127</xdr:row>
      <xdr:rowOff>0</xdr:rowOff>
    </xdr:from>
    <xdr:ext cx="200025" cy="200025"/>
    <xdr:pic>
      <xdr:nvPicPr>
        <xdr:cNvPr id="0" name="image263.png"/>
        <xdr:cNvPicPr preferRelativeResize="0"/>
      </xdr:nvPicPr>
      <xdr:blipFill>
        <a:blip cstate="print" r:embed="rId127"/>
        <a:stretch>
          <a:fillRect/>
        </a:stretch>
      </xdr:blipFill>
      <xdr:spPr>
        <a:prstGeom prst="rect">
          <a:avLst/>
        </a:prstGeom>
        <a:noFill/>
      </xdr:spPr>
    </xdr:pic>
    <xdr:clientData fLocksWithSheet="0"/>
  </xdr:oneCellAnchor>
  <xdr:oneCellAnchor>
    <xdr:from>
      <xdr:col>0</xdr:col>
      <xdr:colOff>0</xdr:colOff>
      <xdr:row>128</xdr:row>
      <xdr:rowOff>0</xdr:rowOff>
    </xdr:from>
    <xdr:ext cx="200025" cy="200025"/>
    <xdr:pic>
      <xdr:nvPicPr>
        <xdr:cNvPr id="0" name="image273.png"/>
        <xdr:cNvPicPr preferRelativeResize="0"/>
      </xdr:nvPicPr>
      <xdr:blipFill>
        <a:blip cstate="print" r:embed="rId128"/>
        <a:stretch>
          <a:fillRect/>
        </a:stretch>
      </xdr:blipFill>
      <xdr:spPr>
        <a:prstGeom prst="rect">
          <a:avLst/>
        </a:prstGeom>
        <a:noFill/>
      </xdr:spPr>
    </xdr:pic>
    <xdr:clientData fLocksWithSheet="0"/>
  </xdr:oneCellAnchor>
  <xdr:oneCellAnchor>
    <xdr:from>
      <xdr:col>0</xdr:col>
      <xdr:colOff>0</xdr:colOff>
      <xdr:row>129</xdr:row>
      <xdr:rowOff>0</xdr:rowOff>
    </xdr:from>
    <xdr:ext cx="200025" cy="200025"/>
    <xdr:pic>
      <xdr:nvPicPr>
        <xdr:cNvPr id="0" name="image261.png"/>
        <xdr:cNvPicPr preferRelativeResize="0"/>
      </xdr:nvPicPr>
      <xdr:blipFill>
        <a:blip cstate="print" r:embed="rId129"/>
        <a:stretch>
          <a:fillRect/>
        </a:stretch>
      </xdr:blipFill>
      <xdr:spPr>
        <a:prstGeom prst="rect">
          <a:avLst/>
        </a:prstGeom>
        <a:noFill/>
      </xdr:spPr>
    </xdr:pic>
    <xdr:clientData fLocksWithSheet="0"/>
  </xdr:oneCellAnchor>
  <xdr:oneCellAnchor>
    <xdr:from>
      <xdr:col>0</xdr:col>
      <xdr:colOff>0</xdr:colOff>
      <xdr:row>130</xdr:row>
      <xdr:rowOff>0</xdr:rowOff>
    </xdr:from>
    <xdr:ext cx="200025" cy="200025"/>
    <xdr:pic>
      <xdr:nvPicPr>
        <xdr:cNvPr id="0" name="image265.png"/>
        <xdr:cNvPicPr preferRelativeResize="0"/>
      </xdr:nvPicPr>
      <xdr:blipFill>
        <a:blip cstate="print" r:embed="rId130"/>
        <a:stretch>
          <a:fillRect/>
        </a:stretch>
      </xdr:blipFill>
      <xdr:spPr>
        <a:prstGeom prst="rect">
          <a:avLst/>
        </a:prstGeom>
        <a:noFill/>
      </xdr:spPr>
    </xdr:pic>
    <xdr:clientData fLocksWithSheet="0"/>
  </xdr:oneCellAnchor>
  <xdr:oneCellAnchor>
    <xdr:from>
      <xdr:col>0</xdr:col>
      <xdr:colOff>0</xdr:colOff>
      <xdr:row>131</xdr:row>
      <xdr:rowOff>0</xdr:rowOff>
    </xdr:from>
    <xdr:ext cx="200025" cy="200025"/>
    <xdr:pic>
      <xdr:nvPicPr>
        <xdr:cNvPr id="0" name="image268.png"/>
        <xdr:cNvPicPr preferRelativeResize="0"/>
      </xdr:nvPicPr>
      <xdr:blipFill>
        <a:blip cstate="print" r:embed="rId131"/>
        <a:stretch>
          <a:fillRect/>
        </a:stretch>
      </xdr:blipFill>
      <xdr:spPr>
        <a:prstGeom prst="rect">
          <a:avLst/>
        </a:prstGeom>
        <a:noFill/>
      </xdr:spPr>
    </xdr:pic>
    <xdr:clientData fLocksWithSheet="0"/>
  </xdr:oneCellAnchor>
  <xdr:oneCellAnchor>
    <xdr:from>
      <xdr:col>0</xdr:col>
      <xdr:colOff>0</xdr:colOff>
      <xdr:row>132</xdr:row>
      <xdr:rowOff>0</xdr:rowOff>
    </xdr:from>
    <xdr:ext cx="200025" cy="200025"/>
    <xdr:pic>
      <xdr:nvPicPr>
        <xdr:cNvPr id="0" name="image262.png"/>
        <xdr:cNvPicPr preferRelativeResize="0"/>
      </xdr:nvPicPr>
      <xdr:blipFill>
        <a:blip cstate="print" r:embed="rId132"/>
        <a:stretch>
          <a:fillRect/>
        </a:stretch>
      </xdr:blipFill>
      <xdr:spPr>
        <a:prstGeom prst="rect">
          <a:avLst/>
        </a:prstGeom>
        <a:noFill/>
      </xdr:spPr>
    </xdr:pic>
    <xdr:clientData fLocksWithSheet="0"/>
  </xdr:oneCellAnchor>
  <xdr:oneCellAnchor>
    <xdr:from>
      <xdr:col>0</xdr:col>
      <xdr:colOff>0</xdr:colOff>
      <xdr:row>133</xdr:row>
      <xdr:rowOff>0</xdr:rowOff>
    </xdr:from>
    <xdr:ext cx="200025" cy="200025"/>
    <xdr:pic>
      <xdr:nvPicPr>
        <xdr:cNvPr id="0" name="image264.png"/>
        <xdr:cNvPicPr preferRelativeResize="0"/>
      </xdr:nvPicPr>
      <xdr:blipFill>
        <a:blip cstate="print" r:embed="rId133"/>
        <a:stretch>
          <a:fillRect/>
        </a:stretch>
      </xdr:blipFill>
      <xdr:spPr>
        <a:prstGeom prst="rect">
          <a:avLst/>
        </a:prstGeom>
        <a:noFill/>
      </xdr:spPr>
    </xdr:pic>
    <xdr:clientData fLocksWithSheet="0"/>
  </xdr:oneCellAnchor>
  <xdr:oneCellAnchor>
    <xdr:from>
      <xdr:col>0</xdr:col>
      <xdr:colOff>0</xdr:colOff>
      <xdr:row>134</xdr:row>
      <xdr:rowOff>0</xdr:rowOff>
    </xdr:from>
    <xdr:ext cx="200025" cy="200025"/>
    <xdr:pic>
      <xdr:nvPicPr>
        <xdr:cNvPr id="0" name="image266.png"/>
        <xdr:cNvPicPr preferRelativeResize="0"/>
      </xdr:nvPicPr>
      <xdr:blipFill>
        <a:blip cstate="print" r:embed="rId134"/>
        <a:stretch>
          <a:fillRect/>
        </a:stretch>
      </xdr:blipFill>
      <xdr:spPr>
        <a:prstGeom prst="rect">
          <a:avLst/>
        </a:prstGeom>
        <a:noFill/>
      </xdr:spPr>
    </xdr:pic>
    <xdr:clientData fLocksWithSheet="0"/>
  </xdr:oneCellAnchor>
  <xdr:oneCellAnchor>
    <xdr:from>
      <xdr:col>0</xdr:col>
      <xdr:colOff>0</xdr:colOff>
      <xdr:row>135</xdr:row>
      <xdr:rowOff>0</xdr:rowOff>
    </xdr:from>
    <xdr:ext cx="200025" cy="200025"/>
    <xdr:pic>
      <xdr:nvPicPr>
        <xdr:cNvPr id="0" name="image267.png"/>
        <xdr:cNvPicPr preferRelativeResize="0"/>
      </xdr:nvPicPr>
      <xdr:blipFill>
        <a:blip cstate="print" r:embed="rId135"/>
        <a:stretch>
          <a:fillRect/>
        </a:stretch>
      </xdr:blipFill>
      <xdr:spPr>
        <a:prstGeom prst="rect">
          <a:avLst/>
        </a:prstGeom>
        <a:noFill/>
      </xdr:spPr>
    </xdr:pic>
    <xdr:clientData fLocksWithSheet="0"/>
  </xdr:oneCellAnchor>
  <xdr:oneCellAnchor>
    <xdr:from>
      <xdr:col>0</xdr:col>
      <xdr:colOff>0</xdr:colOff>
      <xdr:row>136</xdr:row>
      <xdr:rowOff>0</xdr:rowOff>
    </xdr:from>
    <xdr:ext cx="200025" cy="200025"/>
    <xdr:pic>
      <xdr:nvPicPr>
        <xdr:cNvPr id="0" name="image272.png"/>
        <xdr:cNvPicPr preferRelativeResize="0"/>
      </xdr:nvPicPr>
      <xdr:blipFill>
        <a:blip cstate="print" r:embed="rId136"/>
        <a:stretch>
          <a:fillRect/>
        </a:stretch>
      </xdr:blipFill>
      <xdr:spPr>
        <a:prstGeom prst="rect">
          <a:avLst/>
        </a:prstGeom>
        <a:noFill/>
      </xdr:spPr>
    </xdr:pic>
    <xdr:clientData fLocksWithSheet="0"/>
  </xdr:oneCellAnchor>
  <xdr:oneCellAnchor>
    <xdr:from>
      <xdr:col>0</xdr:col>
      <xdr:colOff>0</xdr:colOff>
      <xdr:row>137</xdr:row>
      <xdr:rowOff>0</xdr:rowOff>
    </xdr:from>
    <xdr:ext cx="200025" cy="200025"/>
    <xdr:pic>
      <xdr:nvPicPr>
        <xdr:cNvPr id="0" name="image270.png"/>
        <xdr:cNvPicPr preferRelativeResize="0"/>
      </xdr:nvPicPr>
      <xdr:blipFill>
        <a:blip cstate="print" r:embed="rId137"/>
        <a:stretch>
          <a:fillRect/>
        </a:stretch>
      </xdr:blipFill>
      <xdr:spPr>
        <a:prstGeom prst="rect">
          <a:avLst/>
        </a:prstGeom>
        <a:noFill/>
      </xdr:spPr>
    </xdr:pic>
    <xdr:clientData fLocksWithSheet="0"/>
  </xdr:oneCellAnchor>
  <xdr:oneCellAnchor>
    <xdr:from>
      <xdr:col>0</xdr:col>
      <xdr:colOff>0</xdr:colOff>
      <xdr:row>138</xdr:row>
      <xdr:rowOff>0</xdr:rowOff>
    </xdr:from>
    <xdr:ext cx="200025" cy="200025"/>
    <xdr:pic>
      <xdr:nvPicPr>
        <xdr:cNvPr id="0" name="image271.png"/>
        <xdr:cNvPicPr preferRelativeResize="0"/>
      </xdr:nvPicPr>
      <xdr:blipFill>
        <a:blip cstate="print" r:embed="rId138"/>
        <a:stretch>
          <a:fillRect/>
        </a:stretch>
      </xdr:blipFill>
      <xdr:spPr>
        <a:prstGeom prst="rect">
          <a:avLst/>
        </a:prstGeom>
        <a:noFill/>
      </xdr:spPr>
    </xdr:pic>
    <xdr:clientData fLocksWithSheet="0"/>
  </xdr:oneCellAnchor>
  <xdr:oneCellAnchor>
    <xdr:from>
      <xdr:col>0</xdr:col>
      <xdr:colOff>0</xdr:colOff>
      <xdr:row>139</xdr:row>
      <xdr:rowOff>0</xdr:rowOff>
    </xdr:from>
    <xdr:ext cx="200025" cy="200025"/>
    <xdr:pic>
      <xdr:nvPicPr>
        <xdr:cNvPr id="0" name="image274.png"/>
        <xdr:cNvPicPr preferRelativeResize="0"/>
      </xdr:nvPicPr>
      <xdr:blipFill>
        <a:blip cstate="print" r:embed="rId139"/>
        <a:stretch>
          <a:fillRect/>
        </a:stretch>
      </xdr:blipFill>
      <xdr:spPr>
        <a:prstGeom prst="rect">
          <a:avLst/>
        </a:prstGeom>
        <a:noFill/>
      </xdr:spPr>
    </xdr:pic>
    <xdr:clientData fLocksWithSheet="0"/>
  </xdr:oneCellAnchor>
  <xdr:oneCellAnchor>
    <xdr:from>
      <xdr:col>0</xdr:col>
      <xdr:colOff>0</xdr:colOff>
      <xdr:row>140</xdr:row>
      <xdr:rowOff>0</xdr:rowOff>
    </xdr:from>
    <xdr:ext cx="200025" cy="200025"/>
    <xdr:pic>
      <xdr:nvPicPr>
        <xdr:cNvPr id="0" name="image277.png"/>
        <xdr:cNvPicPr preferRelativeResize="0"/>
      </xdr:nvPicPr>
      <xdr:blipFill>
        <a:blip cstate="print" r:embed="rId140"/>
        <a:stretch>
          <a:fillRect/>
        </a:stretch>
      </xdr:blipFill>
      <xdr:spPr>
        <a:prstGeom prst="rect">
          <a:avLst/>
        </a:prstGeom>
        <a:noFill/>
      </xdr:spPr>
    </xdr:pic>
    <xdr:clientData fLocksWithSheet="0"/>
  </xdr:oneCellAnchor>
  <xdr:oneCellAnchor>
    <xdr:from>
      <xdr:col>0</xdr:col>
      <xdr:colOff>0</xdr:colOff>
      <xdr:row>141</xdr:row>
      <xdr:rowOff>0</xdr:rowOff>
    </xdr:from>
    <xdr:ext cx="200025" cy="200025"/>
    <xdr:pic>
      <xdr:nvPicPr>
        <xdr:cNvPr id="0" name="image275.png"/>
        <xdr:cNvPicPr preferRelativeResize="0"/>
      </xdr:nvPicPr>
      <xdr:blipFill>
        <a:blip cstate="print" r:embed="rId141"/>
        <a:stretch>
          <a:fillRect/>
        </a:stretch>
      </xdr:blipFill>
      <xdr:spPr>
        <a:prstGeom prst="rect">
          <a:avLst/>
        </a:prstGeom>
        <a:noFill/>
      </xdr:spPr>
    </xdr:pic>
    <xdr:clientData fLocksWithSheet="0"/>
  </xdr:oneCellAnchor>
  <xdr:oneCellAnchor>
    <xdr:from>
      <xdr:col>0</xdr:col>
      <xdr:colOff>0</xdr:colOff>
      <xdr:row>142</xdr:row>
      <xdr:rowOff>0</xdr:rowOff>
    </xdr:from>
    <xdr:ext cx="200025" cy="200025"/>
    <xdr:pic>
      <xdr:nvPicPr>
        <xdr:cNvPr id="0" name="image304.png"/>
        <xdr:cNvPicPr preferRelativeResize="0"/>
      </xdr:nvPicPr>
      <xdr:blipFill>
        <a:blip cstate="print" r:embed="rId142"/>
        <a:stretch>
          <a:fillRect/>
        </a:stretch>
      </xdr:blipFill>
      <xdr:spPr>
        <a:prstGeom prst="rect">
          <a:avLst/>
        </a:prstGeom>
        <a:noFill/>
      </xdr:spPr>
    </xdr:pic>
    <xdr:clientData fLocksWithSheet="0"/>
  </xdr:oneCellAnchor>
  <xdr:oneCellAnchor>
    <xdr:from>
      <xdr:col>0</xdr:col>
      <xdr:colOff>0</xdr:colOff>
      <xdr:row>143</xdr:row>
      <xdr:rowOff>0</xdr:rowOff>
    </xdr:from>
    <xdr:ext cx="200025" cy="200025"/>
    <xdr:pic>
      <xdr:nvPicPr>
        <xdr:cNvPr id="0" name="image354.png"/>
        <xdr:cNvPicPr preferRelativeResize="0"/>
      </xdr:nvPicPr>
      <xdr:blipFill>
        <a:blip cstate="print" r:embed="rId143"/>
        <a:stretch>
          <a:fillRect/>
        </a:stretch>
      </xdr:blipFill>
      <xdr:spPr>
        <a:prstGeom prst="rect">
          <a:avLst/>
        </a:prstGeom>
        <a:noFill/>
      </xdr:spPr>
    </xdr:pic>
    <xdr:clientData fLocksWithSheet="0"/>
  </xdr:oneCellAnchor>
  <xdr:oneCellAnchor>
    <xdr:from>
      <xdr:col>0</xdr:col>
      <xdr:colOff>0</xdr:colOff>
      <xdr:row>144</xdr:row>
      <xdr:rowOff>0</xdr:rowOff>
    </xdr:from>
    <xdr:ext cx="200025" cy="200025"/>
    <xdr:pic>
      <xdr:nvPicPr>
        <xdr:cNvPr id="0" name="image294.png"/>
        <xdr:cNvPicPr preferRelativeResize="0"/>
      </xdr:nvPicPr>
      <xdr:blipFill>
        <a:blip cstate="print" r:embed="rId144"/>
        <a:stretch>
          <a:fillRect/>
        </a:stretch>
      </xdr:blipFill>
      <xdr:spPr>
        <a:prstGeom prst="rect">
          <a:avLst/>
        </a:prstGeom>
        <a:noFill/>
      </xdr:spPr>
    </xdr:pic>
    <xdr:clientData fLocksWithSheet="0"/>
  </xdr:oneCellAnchor>
  <xdr:oneCellAnchor>
    <xdr:from>
      <xdr:col>0</xdr:col>
      <xdr:colOff>0</xdr:colOff>
      <xdr:row>145</xdr:row>
      <xdr:rowOff>0</xdr:rowOff>
    </xdr:from>
    <xdr:ext cx="200025" cy="200025"/>
    <xdr:pic>
      <xdr:nvPicPr>
        <xdr:cNvPr id="0" name="image282.png"/>
        <xdr:cNvPicPr preferRelativeResize="0"/>
      </xdr:nvPicPr>
      <xdr:blipFill>
        <a:blip cstate="print" r:embed="rId145"/>
        <a:stretch>
          <a:fillRect/>
        </a:stretch>
      </xdr:blipFill>
      <xdr:spPr>
        <a:prstGeom prst="rect">
          <a:avLst/>
        </a:prstGeom>
        <a:noFill/>
      </xdr:spPr>
    </xdr:pic>
    <xdr:clientData fLocksWithSheet="0"/>
  </xdr:oneCellAnchor>
  <xdr:oneCellAnchor>
    <xdr:from>
      <xdr:col>0</xdr:col>
      <xdr:colOff>0</xdr:colOff>
      <xdr:row>146</xdr:row>
      <xdr:rowOff>0</xdr:rowOff>
    </xdr:from>
    <xdr:ext cx="200025" cy="200025"/>
    <xdr:pic>
      <xdr:nvPicPr>
        <xdr:cNvPr id="0" name="image292.png"/>
        <xdr:cNvPicPr preferRelativeResize="0"/>
      </xdr:nvPicPr>
      <xdr:blipFill>
        <a:blip cstate="print" r:embed="rId146"/>
        <a:stretch>
          <a:fillRect/>
        </a:stretch>
      </xdr:blipFill>
      <xdr:spPr>
        <a:prstGeom prst="rect">
          <a:avLst/>
        </a:prstGeom>
        <a:noFill/>
      </xdr:spPr>
    </xdr:pic>
    <xdr:clientData fLocksWithSheet="0"/>
  </xdr:oneCellAnchor>
  <xdr:oneCellAnchor>
    <xdr:from>
      <xdr:col>0</xdr:col>
      <xdr:colOff>0</xdr:colOff>
      <xdr:row>147</xdr:row>
      <xdr:rowOff>0</xdr:rowOff>
    </xdr:from>
    <xdr:ext cx="200025" cy="200025"/>
    <xdr:pic>
      <xdr:nvPicPr>
        <xdr:cNvPr id="0" name="image306.png"/>
        <xdr:cNvPicPr preferRelativeResize="0"/>
      </xdr:nvPicPr>
      <xdr:blipFill>
        <a:blip cstate="print" r:embed="rId147"/>
        <a:stretch>
          <a:fillRect/>
        </a:stretch>
      </xdr:blipFill>
      <xdr:spPr>
        <a:prstGeom prst="rect">
          <a:avLst/>
        </a:prstGeom>
        <a:noFill/>
      </xdr:spPr>
    </xdr:pic>
    <xdr:clientData fLocksWithSheet="0"/>
  </xdr:oneCellAnchor>
  <xdr:oneCellAnchor>
    <xdr:from>
      <xdr:col>0</xdr:col>
      <xdr:colOff>0</xdr:colOff>
      <xdr:row>148</xdr:row>
      <xdr:rowOff>0</xdr:rowOff>
    </xdr:from>
    <xdr:ext cx="200025" cy="200025"/>
    <xdr:pic>
      <xdr:nvPicPr>
        <xdr:cNvPr id="0" name="image278.png"/>
        <xdr:cNvPicPr preferRelativeResize="0"/>
      </xdr:nvPicPr>
      <xdr:blipFill>
        <a:blip cstate="print" r:embed="rId148"/>
        <a:stretch>
          <a:fillRect/>
        </a:stretch>
      </xdr:blipFill>
      <xdr:spPr>
        <a:prstGeom prst="rect">
          <a:avLst/>
        </a:prstGeom>
        <a:noFill/>
      </xdr:spPr>
    </xdr:pic>
    <xdr:clientData fLocksWithSheet="0"/>
  </xdr:oneCellAnchor>
  <xdr:oneCellAnchor>
    <xdr:from>
      <xdr:col>0</xdr:col>
      <xdr:colOff>0</xdr:colOff>
      <xdr:row>149</xdr:row>
      <xdr:rowOff>0</xdr:rowOff>
    </xdr:from>
    <xdr:ext cx="200025" cy="200025"/>
    <xdr:pic>
      <xdr:nvPicPr>
        <xdr:cNvPr id="0" name="image281.png"/>
        <xdr:cNvPicPr preferRelativeResize="0"/>
      </xdr:nvPicPr>
      <xdr:blipFill>
        <a:blip cstate="print" r:embed="rId149"/>
        <a:stretch>
          <a:fillRect/>
        </a:stretch>
      </xdr:blipFill>
      <xdr:spPr>
        <a:prstGeom prst="rect">
          <a:avLst/>
        </a:prstGeom>
        <a:noFill/>
      </xdr:spPr>
    </xdr:pic>
    <xdr:clientData fLocksWithSheet="0"/>
  </xdr:oneCellAnchor>
  <xdr:oneCellAnchor>
    <xdr:from>
      <xdr:col>0</xdr:col>
      <xdr:colOff>0</xdr:colOff>
      <xdr:row>150</xdr:row>
      <xdr:rowOff>0</xdr:rowOff>
    </xdr:from>
    <xdr:ext cx="200025" cy="200025"/>
    <xdr:pic>
      <xdr:nvPicPr>
        <xdr:cNvPr id="0" name="image280.png"/>
        <xdr:cNvPicPr preferRelativeResize="0"/>
      </xdr:nvPicPr>
      <xdr:blipFill>
        <a:blip cstate="print" r:embed="rId150"/>
        <a:stretch>
          <a:fillRect/>
        </a:stretch>
      </xdr:blipFill>
      <xdr:spPr>
        <a:prstGeom prst="rect">
          <a:avLst/>
        </a:prstGeom>
        <a:noFill/>
      </xdr:spPr>
    </xdr:pic>
    <xdr:clientData fLocksWithSheet="0"/>
  </xdr:oneCellAnchor>
  <xdr:oneCellAnchor>
    <xdr:from>
      <xdr:col>0</xdr:col>
      <xdr:colOff>0</xdr:colOff>
      <xdr:row>151</xdr:row>
      <xdr:rowOff>0</xdr:rowOff>
    </xdr:from>
    <xdr:ext cx="200025" cy="200025"/>
    <xdr:pic>
      <xdr:nvPicPr>
        <xdr:cNvPr id="0" name="image279.png"/>
        <xdr:cNvPicPr preferRelativeResize="0"/>
      </xdr:nvPicPr>
      <xdr:blipFill>
        <a:blip cstate="print" r:embed="rId151"/>
        <a:stretch>
          <a:fillRect/>
        </a:stretch>
      </xdr:blipFill>
      <xdr:spPr>
        <a:prstGeom prst="rect">
          <a:avLst/>
        </a:prstGeom>
        <a:noFill/>
      </xdr:spPr>
    </xdr:pic>
    <xdr:clientData fLocksWithSheet="0"/>
  </xdr:oneCellAnchor>
  <xdr:oneCellAnchor>
    <xdr:from>
      <xdr:col>0</xdr:col>
      <xdr:colOff>0</xdr:colOff>
      <xdr:row>152</xdr:row>
      <xdr:rowOff>0</xdr:rowOff>
    </xdr:from>
    <xdr:ext cx="200025" cy="200025"/>
    <xdr:pic>
      <xdr:nvPicPr>
        <xdr:cNvPr id="0" name="image283.png"/>
        <xdr:cNvPicPr preferRelativeResize="0"/>
      </xdr:nvPicPr>
      <xdr:blipFill>
        <a:blip cstate="print" r:embed="rId152"/>
        <a:stretch>
          <a:fillRect/>
        </a:stretch>
      </xdr:blipFill>
      <xdr:spPr>
        <a:prstGeom prst="rect">
          <a:avLst/>
        </a:prstGeom>
        <a:noFill/>
      </xdr:spPr>
    </xdr:pic>
    <xdr:clientData fLocksWithSheet="0"/>
  </xdr:oneCellAnchor>
  <xdr:oneCellAnchor>
    <xdr:from>
      <xdr:col>0</xdr:col>
      <xdr:colOff>0</xdr:colOff>
      <xdr:row>153</xdr:row>
      <xdr:rowOff>0</xdr:rowOff>
    </xdr:from>
    <xdr:ext cx="200025" cy="200025"/>
    <xdr:pic>
      <xdr:nvPicPr>
        <xdr:cNvPr id="0" name="image284.png"/>
        <xdr:cNvPicPr preferRelativeResize="0"/>
      </xdr:nvPicPr>
      <xdr:blipFill>
        <a:blip cstate="print" r:embed="rId153"/>
        <a:stretch>
          <a:fillRect/>
        </a:stretch>
      </xdr:blipFill>
      <xdr:spPr>
        <a:prstGeom prst="rect">
          <a:avLst/>
        </a:prstGeom>
        <a:noFill/>
      </xdr:spPr>
    </xdr:pic>
    <xdr:clientData fLocksWithSheet="0"/>
  </xdr:oneCellAnchor>
  <xdr:oneCellAnchor>
    <xdr:from>
      <xdr:col>0</xdr:col>
      <xdr:colOff>0</xdr:colOff>
      <xdr:row>154</xdr:row>
      <xdr:rowOff>0</xdr:rowOff>
    </xdr:from>
    <xdr:ext cx="200025" cy="200025"/>
    <xdr:pic>
      <xdr:nvPicPr>
        <xdr:cNvPr id="0" name="image285.png"/>
        <xdr:cNvPicPr preferRelativeResize="0"/>
      </xdr:nvPicPr>
      <xdr:blipFill>
        <a:blip cstate="print" r:embed="rId154"/>
        <a:stretch>
          <a:fillRect/>
        </a:stretch>
      </xdr:blipFill>
      <xdr:spPr>
        <a:prstGeom prst="rect">
          <a:avLst/>
        </a:prstGeom>
        <a:noFill/>
      </xdr:spPr>
    </xdr:pic>
    <xdr:clientData fLocksWithSheet="0"/>
  </xdr:oneCellAnchor>
  <xdr:oneCellAnchor>
    <xdr:from>
      <xdr:col>0</xdr:col>
      <xdr:colOff>0</xdr:colOff>
      <xdr:row>155</xdr:row>
      <xdr:rowOff>0</xdr:rowOff>
    </xdr:from>
    <xdr:ext cx="200025" cy="200025"/>
    <xdr:pic>
      <xdr:nvPicPr>
        <xdr:cNvPr id="0" name="image286.png"/>
        <xdr:cNvPicPr preferRelativeResize="0"/>
      </xdr:nvPicPr>
      <xdr:blipFill>
        <a:blip cstate="print" r:embed="rId155"/>
        <a:stretch>
          <a:fillRect/>
        </a:stretch>
      </xdr:blipFill>
      <xdr:spPr>
        <a:prstGeom prst="rect">
          <a:avLst/>
        </a:prstGeom>
        <a:noFill/>
      </xdr:spPr>
    </xdr:pic>
    <xdr:clientData fLocksWithSheet="0"/>
  </xdr:oneCellAnchor>
  <xdr:oneCellAnchor>
    <xdr:from>
      <xdr:col>0</xdr:col>
      <xdr:colOff>0</xdr:colOff>
      <xdr:row>156</xdr:row>
      <xdr:rowOff>0</xdr:rowOff>
    </xdr:from>
    <xdr:ext cx="200025" cy="200025"/>
    <xdr:pic>
      <xdr:nvPicPr>
        <xdr:cNvPr id="0" name="image287.png"/>
        <xdr:cNvPicPr preferRelativeResize="0"/>
      </xdr:nvPicPr>
      <xdr:blipFill>
        <a:blip cstate="print" r:embed="rId156"/>
        <a:stretch>
          <a:fillRect/>
        </a:stretch>
      </xdr:blipFill>
      <xdr:spPr>
        <a:prstGeom prst="rect">
          <a:avLst/>
        </a:prstGeom>
        <a:noFill/>
      </xdr:spPr>
    </xdr:pic>
    <xdr:clientData fLocksWithSheet="0"/>
  </xdr:oneCellAnchor>
  <xdr:oneCellAnchor>
    <xdr:from>
      <xdr:col>0</xdr:col>
      <xdr:colOff>0</xdr:colOff>
      <xdr:row>157</xdr:row>
      <xdr:rowOff>0</xdr:rowOff>
    </xdr:from>
    <xdr:ext cx="200025" cy="200025"/>
    <xdr:pic>
      <xdr:nvPicPr>
        <xdr:cNvPr id="0" name="image291.png"/>
        <xdr:cNvPicPr preferRelativeResize="0"/>
      </xdr:nvPicPr>
      <xdr:blipFill>
        <a:blip cstate="print" r:embed="rId157"/>
        <a:stretch>
          <a:fillRect/>
        </a:stretch>
      </xdr:blipFill>
      <xdr:spPr>
        <a:prstGeom prst="rect">
          <a:avLst/>
        </a:prstGeom>
        <a:noFill/>
      </xdr:spPr>
    </xdr:pic>
    <xdr:clientData fLocksWithSheet="0"/>
  </xdr:oneCellAnchor>
  <xdr:oneCellAnchor>
    <xdr:from>
      <xdr:col>0</xdr:col>
      <xdr:colOff>0</xdr:colOff>
      <xdr:row>158</xdr:row>
      <xdr:rowOff>0</xdr:rowOff>
    </xdr:from>
    <xdr:ext cx="200025" cy="200025"/>
    <xdr:pic>
      <xdr:nvPicPr>
        <xdr:cNvPr id="0" name="image325.png"/>
        <xdr:cNvPicPr preferRelativeResize="0"/>
      </xdr:nvPicPr>
      <xdr:blipFill>
        <a:blip cstate="print" r:embed="rId158"/>
        <a:stretch>
          <a:fillRect/>
        </a:stretch>
      </xdr:blipFill>
      <xdr:spPr>
        <a:prstGeom prst="rect">
          <a:avLst/>
        </a:prstGeom>
        <a:noFill/>
      </xdr:spPr>
    </xdr:pic>
    <xdr:clientData fLocksWithSheet="0"/>
  </xdr:oneCellAnchor>
  <xdr:oneCellAnchor>
    <xdr:from>
      <xdr:col>0</xdr:col>
      <xdr:colOff>0</xdr:colOff>
      <xdr:row>159</xdr:row>
      <xdr:rowOff>0</xdr:rowOff>
    </xdr:from>
    <xdr:ext cx="200025" cy="200025"/>
    <xdr:pic>
      <xdr:nvPicPr>
        <xdr:cNvPr id="0" name="image289.png"/>
        <xdr:cNvPicPr preferRelativeResize="0"/>
      </xdr:nvPicPr>
      <xdr:blipFill>
        <a:blip cstate="print" r:embed="rId159"/>
        <a:stretch>
          <a:fillRect/>
        </a:stretch>
      </xdr:blipFill>
      <xdr:spPr>
        <a:prstGeom prst="rect">
          <a:avLst/>
        </a:prstGeom>
        <a:noFill/>
      </xdr:spPr>
    </xdr:pic>
    <xdr:clientData fLocksWithSheet="0"/>
  </xdr:oneCellAnchor>
  <xdr:oneCellAnchor>
    <xdr:from>
      <xdr:col>0</xdr:col>
      <xdr:colOff>0</xdr:colOff>
      <xdr:row>160</xdr:row>
      <xdr:rowOff>0</xdr:rowOff>
    </xdr:from>
    <xdr:ext cx="200025" cy="200025"/>
    <xdr:pic>
      <xdr:nvPicPr>
        <xdr:cNvPr id="0" name="image290.png"/>
        <xdr:cNvPicPr preferRelativeResize="0"/>
      </xdr:nvPicPr>
      <xdr:blipFill>
        <a:blip cstate="print" r:embed="rId160"/>
        <a:stretch>
          <a:fillRect/>
        </a:stretch>
      </xdr:blipFill>
      <xdr:spPr>
        <a:prstGeom prst="rect">
          <a:avLst/>
        </a:prstGeom>
        <a:noFill/>
      </xdr:spPr>
    </xdr:pic>
    <xdr:clientData fLocksWithSheet="0"/>
  </xdr:oneCellAnchor>
  <xdr:oneCellAnchor>
    <xdr:from>
      <xdr:col>0</xdr:col>
      <xdr:colOff>0</xdr:colOff>
      <xdr:row>161</xdr:row>
      <xdr:rowOff>0</xdr:rowOff>
    </xdr:from>
    <xdr:ext cx="200025" cy="200025"/>
    <xdr:pic>
      <xdr:nvPicPr>
        <xdr:cNvPr id="0" name="image288.png"/>
        <xdr:cNvPicPr preferRelativeResize="0"/>
      </xdr:nvPicPr>
      <xdr:blipFill>
        <a:blip cstate="print" r:embed="rId161"/>
        <a:stretch>
          <a:fillRect/>
        </a:stretch>
      </xdr:blipFill>
      <xdr:spPr>
        <a:prstGeom prst="rect">
          <a:avLst/>
        </a:prstGeom>
        <a:noFill/>
      </xdr:spPr>
    </xdr:pic>
    <xdr:clientData fLocksWithSheet="0"/>
  </xdr:oneCellAnchor>
  <xdr:oneCellAnchor>
    <xdr:from>
      <xdr:col>0</xdr:col>
      <xdr:colOff>0</xdr:colOff>
      <xdr:row>162</xdr:row>
      <xdr:rowOff>0</xdr:rowOff>
    </xdr:from>
    <xdr:ext cx="200025" cy="200025"/>
    <xdr:pic>
      <xdr:nvPicPr>
        <xdr:cNvPr id="0" name="image295.png"/>
        <xdr:cNvPicPr preferRelativeResize="0"/>
      </xdr:nvPicPr>
      <xdr:blipFill>
        <a:blip cstate="print" r:embed="rId162"/>
        <a:stretch>
          <a:fillRect/>
        </a:stretch>
      </xdr:blipFill>
      <xdr:spPr>
        <a:prstGeom prst="rect">
          <a:avLst/>
        </a:prstGeom>
        <a:noFill/>
      </xdr:spPr>
    </xdr:pic>
    <xdr:clientData fLocksWithSheet="0"/>
  </xdr:oneCellAnchor>
  <xdr:oneCellAnchor>
    <xdr:from>
      <xdr:col>0</xdr:col>
      <xdr:colOff>0</xdr:colOff>
      <xdr:row>163</xdr:row>
      <xdr:rowOff>0</xdr:rowOff>
    </xdr:from>
    <xdr:ext cx="200025" cy="200025"/>
    <xdr:pic>
      <xdr:nvPicPr>
        <xdr:cNvPr id="0" name="image297.png"/>
        <xdr:cNvPicPr preferRelativeResize="0"/>
      </xdr:nvPicPr>
      <xdr:blipFill>
        <a:blip cstate="print" r:embed="rId163"/>
        <a:stretch>
          <a:fillRect/>
        </a:stretch>
      </xdr:blipFill>
      <xdr:spPr>
        <a:prstGeom prst="rect">
          <a:avLst/>
        </a:prstGeom>
        <a:noFill/>
      </xdr:spPr>
    </xdr:pic>
    <xdr:clientData fLocksWithSheet="0"/>
  </xdr:oneCellAnchor>
  <xdr:oneCellAnchor>
    <xdr:from>
      <xdr:col>0</xdr:col>
      <xdr:colOff>0</xdr:colOff>
      <xdr:row>164</xdr:row>
      <xdr:rowOff>0</xdr:rowOff>
    </xdr:from>
    <xdr:ext cx="200025" cy="200025"/>
    <xdr:pic>
      <xdr:nvPicPr>
        <xdr:cNvPr id="0" name="image293.png"/>
        <xdr:cNvPicPr preferRelativeResize="0"/>
      </xdr:nvPicPr>
      <xdr:blipFill>
        <a:blip cstate="print" r:embed="rId164"/>
        <a:stretch>
          <a:fillRect/>
        </a:stretch>
      </xdr:blipFill>
      <xdr:spPr>
        <a:prstGeom prst="rect">
          <a:avLst/>
        </a:prstGeom>
        <a:noFill/>
      </xdr:spPr>
    </xdr:pic>
    <xdr:clientData fLocksWithSheet="0"/>
  </xdr:oneCellAnchor>
  <xdr:oneCellAnchor>
    <xdr:from>
      <xdr:col>0</xdr:col>
      <xdr:colOff>0</xdr:colOff>
      <xdr:row>165</xdr:row>
      <xdr:rowOff>0</xdr:rowOff>
    </xdr:from>
    <xdr:ext cx="200025" cy="200025"/>
    <xdr:pic>
      <xdr:nvPicPr>
        <xdr:cNvPr id="0" name="image296.png"/>
        <xdr:cNvPicPr preferRelativeResize="0"/>
      </xdr:nvPicPr>
      <xdr:blipFill>
        <a:blip cstate="print" r:embed="rId165"/>
        <a:stretch>
          <a:fillRect/>
        </a:stretch>
      </xdr:blipFill>
      <xdr:spPr>
        <a:prstGeom prst="rect">
          <a:avLst/>
        </a:prstGeom>
        <a:noFill/>
      </xdr:spPr>
    </xdr:pic>
    <xdr:clientData fLocksWithSheet="0"/>
  </xdr:oneCellAnchor>
  <xdr:oneCellAnchor>
    <xdr:from>
      <xdr:col>0</xdr:col>
      <xdr:colOff>0</xdr:colOff>
      <xdr:row>166</xdr:row>
      <xdr:rowOff>0</xdr:rowOff>
    </xdr:from>
    <xdr:ext cx="200025" cy="200025"/>
    <xdr:pic>
      <xdr:nvPicPr>
        <xdr:cNvPr id="0" name="image300.png"/>
        <xdr:cNvPicPr preferRelativeResize="0"/>
      </xdr:nvPicPr>
      <xdr:blipFill>
        <a:blip cstate="print" r:embed="rId166"/>
        <a:stretch>
          <a:fillRect/>
        </a:stretch>
      </xdr:blipFill>
      <xdr:spPr>
        <a:prstGeom prst="rect">
          <a:avLst/>
        </a:prstGeom>
        <a:noFill/>
      </xdr:spPr>
    </xdr:pic>
    <xdr:clientData fLocksWithSheet="0"/>
  </xdr:oneCellAnchor>
  <xdr:oneCellAnchor>
    <xdr:from>
      <xdr:col>0</xdr:col>
      <xdr:colOff>0</xdr:colOff>
      <xdr:row>167</xdr:row>
      <xdr:rowOff>0</xdr:rowOff>
    </xdr:from>
    <xdr:ext cx="200025" cy="200025"/>
    <xdr:pic>
      <xdr:nvPicPr>
        <xdr:cNvPr id="0" name="image301.png"/>
        <xdr:cNvPicPr preferRelativeResize="0"/>
      </xdr:nvPicPr>
      <xdr:blipFill>
        <a:blip cstate="print" r:embed="rId167"/>
        <a:stretch>
          <a:fillRect/>
        </a:stretch>
      </xdr:blipFill>
      <xdr:spPr>
        <a:prstGeom prst="rect">
          <a:avLst/>
        </a:prstGeom>
        <a:noFill/>
      </xdr:spPr>
    </xdr:pic>
    <xdr:clientData fLocksWithSheet="0"/>
  </xdr:oneCellAnchor>
  <xdr:oneCellAnchor>
    <xdr:from>
      <xdr:col>0</xdr:col>
      <xdr:colOff>0</xdr:colOff>
      <xdr:row>168</xdr:row>
      <xdr:rowOff>0</xdr:rowOff>
    </xdr:from>
    <xdr:ext cx="200025" cy="200025"/>
    <xdr:pic>
      <xdr:nvPicPr>
        <xdr:cNvPr id="0" name="image305.png"/>
        <xdr:cNvPicPr preferRelativeResize="0"/>
      </xdr:nvPicPr>
      <xdr:blipFill>
        <a:blip cstate="print" r:embed="rId168"/>
        <a:stretch>
          <a:fillRect/>
        </a:stretch>
      </xdr:blipFill>
      <xdr:spPr>
        <a:prstGeom prst="rect">
          <a:avLst/>
        </a:prstGeom>
        <a:noFill/>
      </xdr:spPr>
    </xdr:pic>
    <xdr:clientData fLocksWithSheet="0"/>
  </xdr:oneCellAnchor>
  <xdr:oneCellAnchor>
    <xdr:from>
      <xdr:col>0</xdr:col>
      <xdr:colOff>0</xdr:colOff>
      <xdr:row>169</xdr:row>
      <xdr:rowOff>0</xdr:rowOff>
    </xdr:from>
    <xdr:ext cx="200025" cy="200025"/>
    <xdr:pic>
      <xdr:nvPicPr>
        <xdr:cNvPr id="0" name="image299.png"/>
        <xdr:cNvPicPr preferRelativeResize="0"/>
      </xdr:nvPicPr>
      <xdr:blipFill>
        <a:blip cstate="print" r:embed="rId169"/>
        <a:stretch>
          <a:fillRect/>
        </a:stretch>
      </xdr:blipFill>
      <xdr:spPr>
        <a:prstGeom prst="rect">
          <a:avLst/>
        </a:prstGeom>
        <a:noFill/>
      </xdr:spPr>
    </xdr:pic>
    <xdr:clientData fLocksWithSheet="0"/>
  </xdr:oneCellAnchor>
  <xdr:oneCellAnchor>
    <xdr:from>
      <xdr:col>0</xdr:col>
      <xdr:colOff>0</xdr:colOff>
      <xdr:row>170</xdr:row>
      <xdr:rowOff>0</xdr:rowOff>
    </xdr:from>
    <xdr:ext cx="200025" cy="200025"/>
    <xdr:pic>
      <xdr:nvPicPr>
        <xdr:cNvPr id="0" name="image302.png"/>
        <xdr:cNvPicPr preferRelativeResize="0"/>
      </xdr:nvPicPr>
      <xdr:blipFill>
        <a:blip cstate="print" r:embed="rId170"/>
        <a:stretch>
          <a:fillRect/>
        </a:stretch>
      </xdr:blipFill>
      <xdr:spPr>
        <a:prstGeom prst="rect">
          <a:avLst/>
        </a:prstGeom>
        <a:noFill/>
      </xdr:spPr>
    </xdr:pic>
    <xdr:clientData fLocksWithSheet="0"/>
  </xdr:oneCellAnchor>
  <xdr:oneCellAnchor>
    <xdr:from>
      <xdr:col>0</xdr:col>
      <xdr:colOff>0</xdr:colOff>
      <xdr:row>171</xdr:row>
      <xdr:rowOff>0</xdr:rowOff>
    </xdr:from>
    <xdr:ext cx="200025" cy="200025"/>
    <xdr:pic>
      <xdr:nvPicPr>
        <xdr:cNvPr id="0" name="image308.png"/>
        <xdr:cNvPicPr preferRelativeResize="0"/>
      </xdr:nvPicPr>
      <xdr:blipFill>
        <a:blip cstate="print" r:embed="rId171"/>
        <a:stretch>
          <a:fillRect/>
        </a:stretch>
      </xdr:blipFill>
      <xdr:spPr>
        <a:prstGeom prst="rect">
          <a:avLst/>
        </a:prstGeom>
        <a:noFill/>
      </xdr:spPr>
    </xdr:pic>
    <xdr:clientData fLocksWithSheet="0"/>
  </xdr:oneCellAnchor>
  <xdr:oneCellAnchor>
    <xdr:from>
      <xdr:col>0</xdr:col>
      <xdr:colOff>0</xdr:colOff>
      <xdr:row>172</xdr:row>
      <xdr:rowOff>0</xdr:rowOff>
    </xdr:from>
    <xdr:ext cx="200025" cy="200025"/>
    <xdr:pic>
      <xdr:nvPicPr>
        <xdr:cNvPr id="0" name="image303.png"/>
        <xdr:cNvPicPr preferRelativeResize="0"/>
      </xdr:nvPicPr>
      <xdr:blipFill>
        <a:blip cstate="print" r:embed="rId172"/>
        <a:stretch>
          <a:fillRect/>
        </a:stretch>
      </xdr:blipFill>
      <xdr:spPr>
        <a:prstGeom prst="rect">
          <a:avLst/>
        </a:prstGeom>
        <a:noFill/>
      </xdr:spPr>
    </xdr:pic>
    <xdr:clientData fLocksWithSheet="0"/>
  </xdr:oneCellAnchor>
  <xdr:oneCellAnchor>
    <xdr:from>
      <xdr:col>0</xdr:col>
      <xdr:colOff>0</xdr:colOff>
      <xdr:row>173</xdr:row>
      <xdr:rowOff>0</xdr:rowOff>
    </xdr:from>
    <xdr:ext cx="200025" cy="200025"/>
    <xdr:pic>
      <xdr:nvPicPr>
        <xdr:cNvPr id="0" name="image307.png"/>
        <xdr:cNvPicPr preferRelativeResize="0"/>
      </xdr:nvPicPr>
      <xdr:blipFill>
        <a:blip cstate="print" r:embed="rId173"/>
        <a:stretch>
          <a:fillRect/>
        </a:stretch>
      </xdr:blipFill>
      <xdr:spPr>
        <a:prstGeom prst="rect">
          <a:avLst/>
        </a:prstGeom>
        <a:noFill/>
      </xdr:spPr>
    </xdr:pic>
    <xdr:clientData fLocksWithSheet="0"/>
  </xdr:oneCellAnchor>
  <xdr:oneCellAnchor>
    <xdr:from>
      <xdr:col>0</xdr:col>
      <xdr:colOff>0</xdr:colOff>
      <xdr:row>174</xdr:row>
      <xdr:rowOff>0</xdr:rowOff>
    </xdr:from>
    <xdr:ext cx="200025" cy="200025"/>
    <xdr:pic>
      <xdr:nvPicPr>
        <xdr:cNvPr id="0" name="image309.png"/>
        <xdr:cNvPicPr preferRelativeResize="0"/>
      </xdr:nvPicPr>
      <xdr:blipFill>
        <a:blip cstate="print" r:embed="rId174"/>
        <a:stretch>
          <a:fillRect/>
        </a:stretch>
      </xdr:blipFill>
      <xdr:spPr>
        <a:prstGeom prst="rect">
          <a:avLst/>
        </a:prstGeom>
        <a:noFill/>
      </xdr:spPr>
    </xdr:pic>
    <xdr:clientData fLocksWithSheet="0"/>
  </xdr:oneCellAnchor>
  <xdr:oneCellAnchor>
    <xdr:from>
      <xdr:col>0</xdr:col>
      <xdr:colOff>0</xdr:colOff>
      <xdr:row>175</xdr:row>
      <xdr:rowOff>0</xdr:rowOff>
    </xdr:from>
    <xdr:ext cx="200025" cy="200025"/>
    <xdr:pic>
      <xdr:nvPicPr>
        <xdr:cNvPr id="0" name="image314.png"/>
        <xdr:cNvPicPr preferRelativeResize="0"/>
      </xdr:nvPicPr>
      <xdr:blipFill>
        <a:blip cstate="print" r:embed="rId175"/>
        <a:stretch>
          <a:fillRect/>
        </a:stretch>
      </xdr:blipFill>
      <xdr:spPr>
        <a:prstGeom prst="rect">
          <a:avLst/>
        </a:prstGeom>
        <a:noFill/>
      </xdr:spPr>
    </xdr:pic>
    <xdr:clientData fLocksWithSheet="0"/>
  </xdr:oneCellAnchor>
  <xdr:oneCellAnchor>
    <xdr:from>
      <xdr:col>0</xdr:col>
      <xdr:colOff>0</xdr:colOff>
      <xdr:row>176</xdr:row>
      <xdr:rowOff>0</xdr:rowOff>
    </xdr:from>
    <xdr:ext cx="200025" cy="200025"/>
    <xdr:pic>
      <xdr:nvPicPr>
        <xdr:cNvPr id="0" name="image316.png"/>
        <xdr:cNvPicPr preferRelativeResize="0"/>
      </xdr:nvPicPr>
      <xdr:blipFill>
        <a:blip cstate="print" r:embed="rId176"/>
        <a:stretch>
          <a:fillRect/>
        </a:stretch>
      </xdr:blipFill>
      <xdr:spPr>
        <a:prstGeom prst="rect">
          <a:avLst/>
        </a:prstGeom>
        <a:noFill/>
      </xdr:spPr>
    </xdr:pic>
    <xdr:clientData fLocksWithSheet="0"/>
  </xdr:oneCellAnchor>
  <xdr:oneCellAnchor>
    <xdr:from>
      <xdr:col>0</xdr:col>
      <xdr:colOff>0</xdr:colOff>
      <xdr:row>177</xdr:row>
      <xdr:rowOff>0</xdr:rowOff>
    </xdr:from>
    <xdr:ext cx="200025" cy="200025"/>
    <xdr:pic>
      <xdr:nvPicPr>
        <xdr:cNvPr id="0" name="image311.png"/>
        <xdr:cNvPicPr preferRelativeResize="0"/>
      </xdr:nvPicPr>
      <xdr:blipFill>
        <a:blip cstate="print" r:embed="rId177"/>
        <a:stretch>
          <a:fillRect/>
        </a:stretch>
      </xdr:blipFill>
      <xdr:spPr>
        <a:prstGeom prst="rect">
          <a:avLst/>
        </a:prstGeom>
        <a:noFill/>
      </xdr:spPr>
    </xdr:pic>
    <xdr:clientData fLocksWithSheet="0"/>
  </xdr:oneCellAnchor>
  <xdr:oneCellAnchor>
    <xdr:from>
      <xdr:col>0</xdr:col>
      <xdr:colOff>0</xdr:colOff>
      <xdr:row>178</xdr:row>
      <xdr:rowOff>0</xdr:rowOff>
    </xdr:from>
    <xdr:ext cx="200025" cy="200025"/>
    <xdr:pic>
      <xdr:nvPicPr>
        <xdr:cNvPr id="0" name="image310.png"/>
        <xdr:cNvPicPr preferRelativeResize="0"/>
      </xdr:nvPicPr>
      <xdr:blipFill>
        <a:blip cstate="print" r:embed="rId178"/>
        <a:stretch>
          <a:fillRect/>
        </a:stretch>
      </xdr:blipFill>
      <xdr:spPr>
        <a:prstGeom prst="rect">
          <a:avLst/>
        </a:prstGeom>
        <a:noFill/>
      </xdr:spPr>
    </xdr:pic>
    <xdr:clientData fLocksWithSheet="0"/>
  </xdr:oneCellAnchor>
  <xdr:oneCellAnchor>
    <xdr:from>
      <xdr:col>0</xdr:col>
      <xdr:colOff>0</xdr:colOff>
      <xdr:row>179</xdr:row>
      <xdr:rowOff>0</xdr:rowOff>
    </xdr:from>
    <xdr:ext cx="200025" cy="200025"/>
    <xdr:pic>
      <xdr:nvPicPr>
        <xdr:cNvPr id="0" name="image324.png"/>
        <xdr:cNvPicPr preferRelativeResize="0"/>
      </xdr:nvPicPr>
      <xdr:blipFill>
        <a:blip cstate="print" r:embed="rId179"/>
        <a:stretch>
          <a:fillRect/>
        </a:stretch>
      </xdr:blipFill>
      <xdr:spPr>
        <a:prstGeom prst="rect">
          <a:avLst/>
        </a:prstGeom>
        <a:noFill/>
      </xdr:spPr>
    </xdr:pic>
    <xdr:clientData fLocksWithSheet="0"/>
  </xdr:oneCellAnchor>
  <xdr:oneCellAnchor>
    <xdr:from>
      <xdr:col>0</xdr:col>
      <xdr:colOff>0</xdr:colOff>
      <xdr:row>180</xdr:row>
      <xdr:rowOff>0</xdr:rowOff>
    </xdr:from>
    <xdr:ext cx="200025" cy="200025"/>
    <xdr:pic>
      <xdr:nvPicPr>
        <xdr:cNvPr id="0" name="image312.png"/>
        <xdr:cNvPicPr preferRelativeResize="0"/>
      </xdr:nvPicPr>
      <xdr:blipFill>
        <a:blip cstate="print" r:embed="rId180"/>
        <a:stretch>
          <a:fillRect/>
        </a:stretch>
      </xdr:blipFill>
      <xdr:spPr>
        <a:prstGeom prst="rect">
          <a:avLst/>
        </a:prstGeom>
        <a:noFill/>
      </xdr:spPr>
    </xdr:pic>
    <xdr:clientData fLocksWithSheet="0"/>
  </xdr:oneCellAnchor>
  <xdr:oneCellAnchor>
    <xdr:from>
      <xdr:col>0</xdr:col>
      <xdr:colOff>0</xdr:colOff>
      <xdr:row>181</xdr:row>
      <xdr:rowOff>0</xdr:rowOff>
    </xdr:from>
    <xdr:ext cx="200025" cy="200025"/>
    <xdr:pic>
      <xdr:nvPicPr>
        <xdr:cNvPr id="0" name="image388.png"/>
        <xdr:cNvPicPr preferRelativeResize="0"/>
      </xdr:nvPicPr>
      <xdr:blipFill>
        <a:blip cstate="print" r:embed="rId181"/>
        <a:stretch>
          <a:fillRect/>
        </a:stretch>
      </xdr:blipFill>
      <xdr:spPr>
        <a:prstGeom prst="rect">
          <a:avLst/>
        </a:prstGeom>
        <a:noFill/>
      </xdr:spPr>
    </xdr:pic>
    <xdr:clientData fLocksWithSheet="0"/>
  </xdr:oneCellAnchor>
  <xdr:oneCellAnchor>
    <xdr:from>
      <xdr:col>0</xdr:col>
      <xdr:colOff>0</xdr:colOff>
      <xdr:row>182</xdr:row>
      <xdr:rowOff>0</xdr:rowOff>
    </xdr:from>
    <xdr:ext cx="200025" cy="200025"/>
    <xdr:pic>
      <xdr:nvPicPr>
        <xdr:cNvPr id="0" name="image313.png"/>
        <xdr:cNvPicPr preferRelativeResize="0"/>
      </xdr:nvPicPr>
      <xdr:blipFill>
        <a:blip cstate="print" r:embed="rId182"/>
        <a:stretch>
          <a:fillRect/>
        </a:stretch>
      </xdr:blipFill>
      <xdr:spPr>
        <a:prstGeom prst="rect">
          <a:avLst/>
        </a:prstGeom>
        <a:noFill/>
      </xdr:spPr>
    </xdr:pic>
    <xdr:clientData fLocksWithSheet="0"/>
  </xdr:oneCellAnchor>
  <xdr:oneCellAnchor>
    <xdr:from>
      <xdr:col>0</xdr:col>
      <xdr:colOff>0</xdr:colOff>
      <xdr:row>183</xdr:row>
      <xdr:rowOff>0</xdr:rowOff>
    </xdr:from>
    <xdr:ext cx="200025" cy="200025"/>
    <xdr:pic>
      <xdr:nvPicPr>
        <xdr:cNvPr id="0" name="image319.png"/>
        <xdr:cNvPicPr preferRelativeResize="0"/>
      </xdr:nvPicPr>
      <xdr:blipFill>
        <a:blip cstate="print" r:embed="rId183"/>
        <a:stretch>
          <a:fillRect/>
        </a:stretch>
      </xdr:blipFill>
      <xdr:spPr>
        <a:prstGeom prst="rect">
          <a:avLst/>
        </a:prstGeom>
        <a:noFill/>
      </xdr:spPr>
    </xdr:pic>
    <xdr:clientData fLocksWithSheet="0"/>
  </xdr:oneCellAnchor>
  <xdr:oneCellAnchor>
    <xdr:from>
      <xdr:col>0</xdr:col>
      <xdr:colOff>0</xdr:colOff>
      <xdr:row>184</xdr:row>
      <xdr:rowOff>0</xdr:rowOff>
    </xdr:from>
    <xdr:ext cx="200025" cy="200025"/>
    <xdr:pic>
      <xdr:nvPicPr>
        <xdr:cNvPr id="0" name="image315.png"/>
        <xdr:cNvPicPr preferRelativeResize="0"/>
      </xdr:nvPicPr>
      <xdr:blipFill>
        <a:blip cstate="print" r:embed="rId184"/>
        <a:stretch>
          <a:fillRect/>
        </a:stretch>
      </xdr:blipFill>
      <xdr:spPr>
        <a:prstGeom prst="rect">
          <a:avLst/>
        </a:prstGeom>
        <a:noFill/>
      </xdr:spPr>
    </xdr:pic>
    <xdr:clientData fLocksWithSheet="0"/>
  </xdr:oneCellAnchor>
  <xdr:oneCellAnchor>
    <xdr:from>
      <xdr:col>0</xdr:col>
      <xdr:colOff>0</xdr:colOff>
      <xdr:row>185</xdr:row>
      <xdr:rowOff>0</xdr:rowOff>
    </xdr:from>
    <xdr:ext cx="200025" cy="200025"/>
    <xdr:pic>
      <xdr:nvPicPr>
        <xdr:cNvPr id="0" name="image318.png"/>
        <xdr:cNvPicPr preferRelativeResize="0"/>
      </xdr:nvPicPr>
      <xdr:blipFill>
        <a:blip cstate="print" r:embed="rId185"/>
        <a:stretch>
          <a:fillRect/>
        </a:stretch>
      </xdr:blipFill>
      <xdr:spPr>
        <a:prstGeom prst="rect">
          <a:avLst/>
        </a:prstGeom>
        <a:noFill/>
      </xdr:spPr>
    </xdr:pic>
    <xdr:clientData fLocksWithSheet="0"/>
  </xdr:oneCellAnchor>
  <xdr:oneCellAnchor>
    <xdr:from>
      <xdr:col>0</xdr:col>
      <xdr:colOff>0</xdr:colOff>
      <xdr:row>186</xdr:row>
      <xdr:rowOff>0</xdr:rowOff>
    </xdr:from>
    <xdr:ext cx="200025" cy="200025"/>
    <xdr:pic>
      <xdr:nvPicPr>
        <xdr:cNvPr id="0" name="image317.png"/>
        <xdr:cNvPicPr preferRelativeResize="0"/>
      </xdr:nvPicPr>
      <xdr:blipFill>
        <a:blip cstate="print" r:embed="rId186"/>
        <a:stretch>
          <a:fillRect/>
        </a:stretch>
      </xdr:blipFill>
      <xdr:spPr>
        <a:prstGeom prst="rect">
          <a:avLst/>
        </a:prstGeom>
        <a:noFill/>
      </xdr:spPr>
    </xdr:pic>
    <xdr:clientData fLocksWithSheet="0"/>
  </xdr:oneCellAnchor>
  <xdr:oneCellAnchor>
    <xdr:from>
      <xdr:col>0</xdr:col>
      <xdr:colOff>0</xdr:colOff>
      <xdr:row>187</xdr:row>
      <xdr:rowOff>0</xdr:rowOff>
    </xdr:from>
    <xdr:ext cx="200025" cy="200025"/>
    <xdr:pic>
      <xdr:nvPicPr>
        <xdr:cNvPr id="0" name="image320.png"/>
        <xdr:cNvPicPr preferRelativeResize="0"/>
      </xdr:nvPicPr>
      <xdr:blipFill>
        <a:blip cstate="print" r:embed="rId187"/>
        <a:stretch>
          <a:fillRect/>
        </a:stretch>
      </xdr:blipFill>
      <xdr:spPr>
        <a:prstGeom prst="rect">
          <a:avLst/>
        </a:prstGeom>
        <a:noFill/>
      </xdr:spPr>
    </xdr:pic>
    <xdr:clientData fLocksWithSheet="0"/>
  </xdr:oneCellAnchor>
  <xdr:oneCellAnchor>
    <xdr:from>
      <xdr:col>0</xdr:col>
      <xdr:colOff>0</xdr:colOff>
      <xdr:row>188</xdr:row>
      <xdr:rowOff>0</xdr:rowOff>
    </xdr:from>
    <xdr:ext cx="200025" cy="200025"/>
    <xdr:pic>
      <xdr:nvPicPr>
        <xdr:cNvPr id="0" name="image370.png"/>
        <xdr:cNvPicPr preferRelativeResize="0"/>
      </xdr:nvPicPr>
      <xdr:blipFill>
        <a:blip cstate="print" r:embed="rId188"/>
        <a:stretch>
          <a:fillRect/>
        </a:stretch>
      </xdr:blipFill>
      <xdr:spPr>
        <a:prstGeom prst="rect">
          <a:avLst/>
        </a:prstGeom>
        <a:noFill/>
      </xdr:spPr>
    </xdr:pic>
    <xdr:clientData fLocksWithSheet="0"/>
  </xdr:oneCellAnchor>
  <xdr:oneCellAnchor>
    <xdr:from>
      <xdr:col>0</xdr:col>
      <xdr:colOff>0</xdr:colOff>
      <xdr:row>189</xdr:row>
      <xdr:rowOff>0</xdr:rowOff>
    </xdr:from>
    <xdr:ext cx="200025" cy="200025"/>
    <xdr:pic>
      <xdr:nvPicPr>
        <xdr:cNvPr id="0" name="image329.png"/>
        <xdr:cNvPicPr preferRelativeResize="0"/>
      </xdr:nvPicPr>
      <xdr:blipFill>
        <a:blip cstate="print" r:embed="rId189"/>
        <a:stretch>
          <a:fillRect/>
        </a:stretch>
      </xdr:blipFill>
      <xdr:spPr>
        <a:prstGeom prst="rect">
          <a:avLst/>
        </a:prstGeom>
        <a:noFill/>
      </xdr:spPr>
    </xdr:pic>
    <xdr:clientData fLocksWithSheet="0"/>
  </xdr:oneCellAnchor>
  <xdr:oneCellAnchor>
    <xdr:from>
      <xdr:col>0</xdr:col>
      <xdr:colOff>0</xdr:colOff>
      <xdr:row>190</xdr:row>
      <xdr:rowOff>0</xdr:rowOff>
    </xdr:from>
    <xdr:ext cx="200025" cy="200025"/>
    <xdr:pic>
      <xdr:nvPicPr>
        <xdr:cNvPr id="0" name="image321.png"/>
        <xdr:cNvPicPr preferRelativeResize="0"/>
      </xdr:nvPicPr>
      <xdr:blipFill>
        <a:blip cstate="print" r:embed="rId190"/>
        <a:stretch>
          <a:fillRect/>
        </a:stretch>
      </xdr:blipFill>
      <xdr:spPr>
        <a:prstGeom prst="rect">
          <a:avLst/>
        </a:prstGeom>
        <a:noFill/>
      </xdr:spPr>
    </xdr:pic>
    <xdr:clientData fLocksWithSheet="0"/>
  </xdr:oneCellAnchor>
  <xdr:oneCellAnchor>
    <xdr:from>
      <xdr:col>0</xdr:col>
      <xdr:colOff>0</xdr:colOff>
      <xdr:row>191</xdr:row>
      <xdr:rowOff>0</xdr:rowOff>
    </xdr:from>
    <xdr:ext cx="200025" cy="200025"/>
    <xdr:pic>
      <xdr:nvPicPr>
        <xdr:cNvPr id="0" name="image323.png"/>
        <xdr:cNvPicPr preferRelativeResize="0"/>
      </xdr:nvPicPr>
      <xdr:blipFill>
        <a:blip cstate="print" r:embed="rId191"/>
        <a:stretch>
          <a:fillRect/>
        </a:stretch>
      </xdr:blipFill>
      <xdr:spPr>
        <a:prstGeom prst="rect">
          <a:avLst/>
        </a:prstGeom>
        <a:noFill/>
      </xdr:spPr>
    </xdr:pic>
    <xdr:clientData fLocksWithSheet="0"/>
  </xdr:oneCellAnchor>
  <xdr:oneCellAnchor>
    <xdr:from>
      <xdr:col>0</xdr:col>
      <xdr:colOff>0</xdr:colOff>
      <xdr:row>192</xdr:row>
      <xdr:rowOff>0</xdr:rowOff>
    </xdr:from>
    <xdr:ext cx="200025" cy="200025"/>
    <xdr:pic>
      <xdr:nvPicPr>
        <xdr:cNvPr id="0" name="image322.png"/>
        <xdr:cNvPicPr preferRelativeResize="0"/>
      </xdr:nvPicPr>
      <xdr:blipFill>
        <a:blip cstate="print" r:embed="rId192"/>
        <a:stretch>
          <a:fillRect/>
        </a:stretch>
      </xdr:blipFill>
      <xdr:spPr>
        <a:prstGeom prst="rect">
          <a:avLst/>
        </a:prstGeom>
        <a:noFill/>
      </xdr:spPr>
    </xdr:pic>
    <xdr:clientData fLocksWithSheet="0"/>
  </xdr:oneCellAnchor>
  <xdr:oneCellAnchor>
    <xdr:from>
      <xdr:col>0</xdr:col>
      <xdr:colOff>0</xdr:colOff>
      <xdr:row>193</xdr:row>
      <xdr:rowOff>0</xdr:rowOff>
    </xdr:from>
    <xdr:ext cx="200025" cy="200025"/>
    <xdr:pic>
      <xdr:nvPicPr>
        <xdr:cNvPr id="0" name="image327.png"/>
        <xdr:cNvPicPr preferRelativeResize="0"/>
      </xdr:nvPicPr>
      <xdr:blipFill>
        <a:blip cstate="print" r:embed="rId193"/>
        <a:stretch>
          <a:fillRect/>
        </a:stretch>
      </xdr:blipFill>
      <xdr:spPr>
        <a:prstGeom prst="rect">
          <a:avLst/>
        </a:prstGeom>
        <a:noFill/>
      </xdr:spPr>
    </xdr:pic>
    <xdr:clientData fLocksWithSheet="0"/>
  </xdr:oneCellAnchor>
  <xdr:oneCellAnchor>
    <xdr:from>
      <xdr:col>0</xdr:col>
      <xdr:colOff>0</xdr:colOff>
      <xdr:row>194</xdr:row>
      <xdr:rowOff>0</xdr:rowOff>
    </xdr:from>
    <xdr:ext cx="200025" cy="200025"/>
    <xdr:pic>
      <xdr:nvPicPr>
        <xdr:cNvPr id="0" name="image372.png"/>
        <xdr:cNvPicPr preferRelativeResize="0"/>
      </xdr:nvPicPr>
      <xdr:blipFill>
        <a:blip cstate="print" r:embed="rId194"/>
        <a:stretch>
          <a:fillRect/>
        </a:stretch>
      </xdr:blipFill>
      <xdr:spPr>
        <a:prstGeom prst="rect">
          <a:avLst/>
        </a:prstGeom>
        <a:noFill/>
      </xdr:spPr>
    </xdr:pic>
    <xdr:clientData fLocksWithSheet="0"/>
  </xdr:oneCellAnchor>
  <xdr:oneCellAnchor>
    <xdr:from>
      <xdr:col>0</xdr:col>
      <xdr:colOff>0</xdr:colOff>
      <xdr:row>195</xdr:row>
      <xdr:rowOff>0</xdr:rowOff>
    </xdr:from>
    <xdr:ext cx="200025" cy="200025"/>
    <xdr:pic>
      <xdr:nvPicPr>
        <xdr:cNvPr id="0" name="image326.png"/>
        <xdr:cNvPicPr preferRelativeResize="0"/>
      </xdr:nvPicPr>
      <xdr:blipFill>
        <a:blip cstate="print" r:embed="rId195"/>
        <a:stretch>
          <a:fillRect/>
        </a:stretch>
      </xdr:blipFill>
      <xdr:spPr>
        <a:prstGeom prst="rect">
          <a:avLst/>
        </a:prstGeom>
        <a:noFill/>
      </xdr:spPr>
    </xdr:pic>
    <xdr:clientData fLocksWithSheet="0"/>
  </xdr:oneCellAnchor>
  <xdr:oneCellAnchor>
    <xdr:from>
      <xdr:col>0</xdr:col>
      <xdr:colOff>0</xdr:colOff>
      <xdr:row>196</xdr:row>
      <xdr:rowOff>0</xdr:rowOff>
    </xdr:from>
    <xdr:ext cx="200025" cy="200025"/>
    <xdr:pic>
      <xdr:nvPicPr>
        <xdr:cNvPr id="0" name="image330.png"/>
        <xdr:cNvPicPr preferRelativeResize="0"/>
      </xdr:nvPicPr>
      <xdr:blipFill>
        <a:blip cstate="print" r:embed="rId196"/>
        <a:stretch>
          <a:fillRect/>
        </a:stretch>
      </xdr:blipFill>
      <xdr:spPr>
        <a:prstGeom prst="rect">
          <a:avLst/>
        </a:prstGeom>
        <a:noFill/>
      </xdr:spPr>
    </xdr:pic>
    <xdr:clientData fLocksWithSheet="0"/>
  </xdr:oneCellAnchor>
  <xdr:oneCellAnchor>
    <xdr:from>
      <xdr:col>0</xdr:col>
      <xdr:colOff>0</xdr:colOff>
      <xdr:row>197</xdr:row>
      <xdr:rowOff>0</xdr:rowOff>
    </xdr:from>
    <xdr:ext cx="200025" cy="200025"/>
    <xdr:pic>
      <xdr:nvPicPr>
        <xdr:cNvPr id="0" name="image328.png"/>
        <xdr:cNvPicPr preferRelativeResize="0"/>
      </xdr:nvPicPr>
      <xdr:blipFill>
        <a:blip cstate="print" r:embed="rId197"/>
        <a:stretch>
          <a:fillRect/>
        </a:stretch>
      </xdr:blipFill>
      <xdr:spPr>
        <a:prstGeom prst="rect">
          <a:avLst/>
        </a:prstGeom>
        <a:noFill/>
      </xdr:spPr>
    </xdr:pic>
    <xdr:clientData fLocksWithSheet="0"/>
  </xdr:oneCellAnchor>
  <xdr:oneCellAnchor>
    <xdr:from>
      <xdr:col>0</xdr:col>
      <xdr:colOff>0</xdr:colOff>
      <xdr:row>198</xdr:row>
      <xdr:rowOff>0</xdr:rowOff>
    </xdr:from>
    <xdr:ext cx="200025" cy="200025"/>
    <xdr:pic>
      <xdr:nvPicPr>
        <xdr:cNvPr id="0" name="image386.png"/>
        <xdr:cNvPicPr preferRelativeResize="0"/>
      </xdr:nvPicPr>
      <xdr:blipFill>
        <a:blip cstate="print" r:embed="rId198"/>
        <a:stretch>
          <a:fillRect/>
        </a:stretch>
      </xdr:blipFill>
      <xdr:spPr>
        <a:prstGeom prst="rect">
          <a:avLst/>
        </a:prstGeom>
        <a:noFill/>
      </xdr:spPr>
    </xdr:pic>
    <xdr:clientData fLocksWithSheet="0"/>
  </xdr:oneCellAnchor>
  <xdr:oneCellAnchor>
    <xdr:from>
      <xdr:col>0</xdr:col>
      <xdr:colOff>0</xdr:colOff>
      <xdr:row>199</xdr:row>
      <xdr:rowOff>0</xdr:rowOff>
    </xdr:from>
    <xdr:ext cx="200025" cy="200025"/>
    <xdr:pic>
      <xdr:nvPicPr>
        <xdr:cNvPr id="0" name="image332.png"/>
        <xdr:cNvPicPr preferRelativeResize="0"/>
      </xdr:nvPicPr>
      <xdr:blipFill>
        <a:blip cstate="print" r:embed="rId199"/>
        <a:stretch>
          <a:fillRect/>
        </a:stretch>
      </xdr:blipFill>
      <xdr:spPr>
        <a:prstGeom prst="rect">
          <a:avLst/>
        </a:prstGeom>
        <a:noFill/>
      </xdr:spPr>
    </xdr:pic>
    <xdr:clientData fLocksWithSheet="0"/>
  </xdr:oneCellAnchor>
  <xdr:oneCellAnchor>
    <xdr:from>
      <xdr:col>0</xdr:col>
      <xdr:colOff>0</xdr:colOff>
      <xdr:row>200</xdr:row>
      <xdr:rowOff>0</xdr:rowOff>
    </xdr:from>
    <xdr:ext cx="200025" cy="200025"/>
    <xdr:pic>
      <xdr:nvPicPr>
        <xdr:cNvPr id="0" name="image333.png"/>
        <xdr:cNvPicPr preferRelativeResize="0"/>
      </xdr:nvPicPr>
      <xdr:blipFill>
        <a:blip cstate="print" r:embed="rId200"/>
        <a:stretch>
          <a:fillRect/>
        </a:stretch>
      </xdr:blipFill>
      <xdr:spPr>
        <a:prstGeom prst="rect">
          <a:avLst/>
        </a:prstGeom>
        <a:noFill/>
      </xdr:spPr>
    </xdr:pic>
    <xdr:clientData fLocksWithSheet="0"/>
  </xdr:oneCellAnchor>
  <xdr:oneCellAnchor>
    <xdr:from>
      <xdr:col>0</xdr:col>
      <xdr:colOff>0</xdr:colOff>
      <xdr:row>201</xdr:row>
      <xdr:rowOff>0</xdr:rowOff>
    </xdr:from>
    <xdr:ext cx="200025" cy="200025"/>
    <xdr:pic>
      <xdr:nvPicPr>
        <xdr:cNvPr id="0" name="image334.png"/>
        <xdr:cNvPicPr preferRelativeResize="0"/>
      </xdr:nvPicPr>
      <xdr:blipFill>
        <a:blip cstate="print" r:embed="rId201"/>
        <a:stretch>
          <a:fillRect/>
        </a:stretch>
      </xdr:blipFill>
      <xdr:spPr>
        <a:prstGeom prst="rect">
          <a:avLst/>
        </a:prstGeom>
        <a:noFill/>
      </xdr:spPr>
    </xdr:pic>
    <xdr:clientData fLocksWithSheet="0"/>
  </xdr:oneCellAnchor>
  <xdr:oneCellAnchor>
    <xdr:from>
      <xdr:col>0</xdr:col>
      <xdr:colOff>0</xdr:colOff>
      <xdr:row>202</xdr:row>
      <xdr:rowOff>0</xdr:rowOff>
    </xdr:from>
    <xdr:ext cx="200025" cy="200025"/>
    <xdr:pic>
      <xdr:nvPicPr>
        <xdr:cNvPr id="0" name="image336.png"/>
        <xdr:cNvPicPr preferRelativeResize="0"/>
      </xdr:nvPicPr>
      <xdr:blipFill>
        <a:blip cstate="print" r:embed="rId202"/>
        <a:stretch>
          <a:fillRect/>
        </a:stretch>
      </xdr:blipFill>
      <xdr:spPr>
        <a:prstGeom prst="rect">
          <a:avLst/>
        </a:prstGeom>
        <a:noFill/>
      </xdr:spPr>
    </xdr:pic>
    <xdr:clientData fLocksWithSheet="0"/>
  </xdr:oneCellAnchor>
  <xdr:oneCellAnchor>
    <xdr:from>
      <xdr:col>0</xdr:col>
      <xdr:colOff>0</xdr:colOff>
      <xdr:row>203</xdr:row>
      <xdr:rowOff>0</xdr:rowOff>
    </xdr:from>
    <xdr:ext cx="200025" cy="200025"/>
    <xdr:pic>
      <xdr:nvPicPr>
        <xdr:cNvPr id="0" name="image337.png"/>
        <xdr:cNvPicPr preferRelativeResize="0"/>
      </xdr:nvPicPr>
      <xdr:blipFill>
        <a:blip cstate="print" r:embed="rId203"/>
        <a:stretch>
          <a:fillRect/>
        </a:stretch>
      </xdr:blipFill>
      <xdr:spPr>
        <a:prstGeom prst="rect">
          <a:avLst/>
        </a:prstGeom>
        <a:noFill/>
      </xdr:spPr>
    </xdr:pic>
    <xdr:clientData fLocksWithSheet="0"/>
  </xdr:oneCellAnchor>
  <xdr:oneCellAnchor>
    <xdr:from>
      <xdr:col>0</xdr:col>
      <xdr:colOff>0</xdr:colOff>
      <xdr:row>204</xdr:row>
      <xdr:rowOff>0</xdr:rowOff>
    </xdr:from>
    <xdr:ext cx="200025" cy="200025"/>
    <xdr:pic>
      <xdr:nvPicPr>
        <xdr:cNvPr id="0" name="image335.png"/>
        <xdr:cNvPicPr preferRelativeResize="0"/>
      </xdr:nvPicPr>
      <xdr:blipFill>
        <a:blip cstate="print" r:embed="rId204"/>
        <a:stretch>
          <a:fillRect/>
        </a:stretch>
      </xdr:blipFill>
      <xdr:spPr>
        <a:prstGeom prst="rect">
          <a:avLst/>
        </a:prstGeom>
        <a:noFill/>
      </xdr:spPr>
    </xdr:pic>
    <xdr:clientData fLocksWithSheet="0"/>
  </xdr:oneCellAnchor>
  <xdr:oneCellAnchor>
    <xdr:from>
      <xdr:col>0</xdr:col>
      <xdr:colOff>0</xdr:colOff>
      <xdr:row>205</xdr:row>
      <xdr:rowOff>0</xdr:rowOff>
    </xdr:from>
    <xdr:ext cx="200025" cy="200025"/>
    <xdr:pic>
      <xdr:nvPicPr>
        <xdr:cNvPr id="0" name="image339.png"/>
        <xdr:cNvPicPr preferRelativeResize="0"/>
      </xdr:nvPicPr>
      <xdr:blipFill>
        <a:blip cstate="print" r:embed="rId205"/>
        <a:stretch>
          <a:fillRect/>
        </a:stretch>
      </xdr:blipFill>
      <xdr:spPr>
        <a:prstGeom prst="rect">
          <a:avLst/>
        </a:prstGeom>
        <a:noFill/>
      </xdr:spPr>
    </xdr:pic>
    <xdr:clientData fLocksWithSheet="0"/>
  </xdr:oneCellAnchor>
  <xdr:oneCellAnchor>
    <xdr:from>
      <xdr:col>0</xdr:col>
      <xdr:colOff>0</xdr:colOff>
      <xdr:row>206</xdr:row>
      <xdr:rowOff>0</xdr:rowOff>
    </xdr:from>
    <xdr:ext cx="200025" cy="200025"/>
    <xdr:pic>
      <xdr:nvPicPr>
        <xdr:cNvPr id="0" name="image340.png"/>
        <xdr:cNvPicPr preferRelativeResize="0"/>
      </xdr:nvPicPr>
      <xdr:blipFill>
        <a:blip cstate="print" r:embed="rId206"/>
        <a:stretch>
          <a:fillRect/>
        </a:stretch>
      </xdr:blipFill>
      <xdr:spPr>
        <a:prstGeom prst="rect">
          <a:avLst/>
        </a:prstGeom>
        <a:noFill/>
      </xdr:spPr>
    </xdr:pic>
    <xdr:clientData fLocksWithSheet="0"/>
  </xdr:oneCellAnchor>
  <xdr:oneCellAnchor>
    <xdr:from>
      <xdr:col>0</xdr:col>
      <xdr:colOff>0</xdr:colOff>
      <xdr:row>207</xdr:row>
      <xdr:rowOff>0</xdr:rowOff>
    </xdr:from>
    <xdr:ext cx="200025" cy="200025"/>
    <xdr:pic>
      <xdr:nvPicPr>
        <xdr:cNvPr id="0" name="image338.png"/>
        <xdr:cNvPicPr preferRelativeResize="0"/>
      </xdr:nvPicPr>
      <xdr:blipFill>
        <a:blip cstate="print" r:embed="rId207"/>
        <a:stretch>
          <a:fillRect/>
        </a:stretch>
      </xdr:blipFill>
      <xdr:spPr>
        <a:prstGeom prst="rect">
          <a:avLst/>
        </a:prstGeom>
        <a:noFill/>
      </xdr:spPr>
    </xdr:pic>
    <xdr:clientData fLocksWithSheet="0"/>
  </xdr:oneCellAnchor>
  <xdr:oneCellAnchor>
    <xdr:from>
      <xdr:col>0</xdr:col>
      <xdr:colOff>0</xdr:colOff>
      <xdr:row>208</xdr:row>
      <xdr:rowOff>0</xdr:rowOff>
    </xdr:from>
    <xdr:ext cx="200025" cy="200025"/>
    <xdr:pic>
      <xdr:nvPicPr>
        <xdr:cNvPr id="0" name="image348.png"/>
        <xdr:cNvPicPr preferRelativeResize="0"/>
      </xdr:nvPicPr>
      <xdr:blipFill>
        <a:blip cstate="print" r:embed="rId208"/>
        <a:stretch>
          <a:fillRect/>
        </a:stretch>
      </xdr:blipFill>
      <xdr:spPr>
        <a:prstGeom prst="rect">
          <a:avLst/>
        </a:prstGeom>
        <a:noFill/>
      </xdr:spPr>
    </xdr:pic>
    <xdr:clientData fLocksWithSheet="0"/>
  </xdr:oneCellAnchor>
  <xdr:oneCellAnchor>
    <xdr:from>
      <xdr:col>0</xdr:col>
      <xdr:colOff>0</xdr:colOff>
      <xdr:row>209</xdr:row>
      <xdr:rowOff>0</xdr:rowOff>
    </xdr:from>
    <xdr:ext cx="200025" cy="200025"/>
    <xdr:pic>
      <xdr:nvPicPr>
        <xdr:cNvPr id="0" name="image344.png"/>
        <xdr:cNvPicPr preferRelativeResize="0"/>
      </xdr:nvPicPr>
      <xdr:blipFill>
        <a:blip cstate="print" r:embed="rId209"/>
        <a:stretch>
          <a:fillRect/>
        </a:stretch>
      </xdr:blipFill>
      <xdr:spPr>
        <a:prstGeom prst="rect">
          <a:avLst/>
        </a:prstGeom>
        <a:noFill/>
      </xdr:spPr>
    </xdr:pic>
    <xdr:clientData fLocksWithSheet="0"/>
  </xdr:oneCellAnchor>
  <xdr:oneCellAnchor>
    <xdr:from>
      <xdr:col>0</xdr:col>
      <xdr:colOff>0</xdr:colOff>
      <xdr:row>210</xdr:row>
      <xdr:rowOff>0</xdr:rowOff>
    </xdr:from>
    <xdr:ext cx="200025" cy="200025"/>
    <xdr:pic>
      <xdr:nvPicPr>
        <xdr:cNvPr id="0" name="image341.png"/>
        <xdr:cNvPicPr preferRelativeResize="0"/>
      </xdr:nvPicPr>
      <xdr:blipFill>
        <a:blip cstate="print" r:embed="rId210"/>
        <a:stretch>
          <a:fillRect/>
        </a:stretch>
      </xdr:blipFill>
      <xdr:spPr>
        <a:prstGeom prst="rect">
          <a:avLst/>
        </a:prstGeom>
        <a:noFill/>
      </xdr:spPr>
    </xdr:pic>
    <xdr:clientData fLocksWithSheet="0"/>
  </xdr:oneCellAnchor>
  <xdr:oneCellAnchor>
    <xdr:from>
      <xdr:col>0</xdr:col>
      <xdr:colOff>0</xdr:colOff>
      <xdr:row>211</xdr:row>
      <xdr:rowOff>0</xdr:rowOff>
    </xdr:from>
    <xdr:ext cx="200025" cy="200025"/>
    <xdr:pic>
      <xdr:nvPicPr>
        <xdr:cNvPr id="0" name="image342.png"/>
        <xdr:cNvPicPr preferRelativeResize="0"/>
      </xdr:nvPicPr>
      <xdr:blipFill>
        <a:blip cstate="print" r:embed="rId211"/>
        <a:stretch>
          <a:fillRect/>
        </a:stretch>
      </xdr:blipFill>
      <xdr:spPr>
        <a:prstGeom prst="rect">
          <a:avLst/>
        </a:prstGeom>
        <a:noFill/>
      </xdr:spPr>
    </xdr:pic>
    <xdr:clientData fLocksWithSheet="0"/>
  </xdr:oneCellAnchor>
  <xdr:oneCellAnchor>
    <xdr:from>
      <xdr:col>0</xdr:col>
      <xdr:colOff>0</xdr:colOff>
      <xdr:row>212</xdr:row>
      <xdr:rowOff>0</xdr:rowOff>
    </xdr:from>
    <xdr:ext cx="200025" cy="200025"/>
    <xdr:pic>
      <xdr:nvPicPr>
        <xdr:cNvPr id="0" name="image343.png"/>
        <xdr:cNvPicPr preferRelativeResize="0"/>
      </xdr:nvPicPr>
      <xdr:blipFill>
        <a:blip cstate="print" r:embed="rId212"/>
        <a:stretch>
          <a:fillRect/>
        </a:stretch>
      </xdr:blipFill>
      <xdr:spPr>
        <a:prstGeom prst="rect">
          <a:avLst/>
        </a:prstGeom>
        <a:noFill/>
      </xdr:spPr>
    </xdr:pic>
    <xdr:clientData fLocksWithSheet="0"/>
  </xdr:oneCellAnchor>
  <xdr:oneCellAnchor>
    <xdr:from>
      <xdr:col>0</xdr:col>
      <xdr:colOff>0</xdr:colOff>
      <xdr:row>213</xdr:row>
      <xdr:rowOff>0</xdr:rowOff>
    </xdr:from>
    <xdr:ext cx="200025" cy="200025"/>
    <xdr:pic>
      <xdr:nvPicPr>
        <xdr:cNvPr id="0" name="image351.png"/>
        <xdr:cNvPicPr preferRelativeResize="0"/>
      </xdr:nvPicPr>
      <xdr:blipFill>
        <a:blip cstate="print" r:embed="rId213"/>
        <a:stretch>
          <a:fillRect/>
        </a:stretch>
      </xdr:blipFill>
      <xdr:spPr>
        <a:prstGeom prst="rect">
          <a:avLst/>
        </a:prstGeom>
        <a:noFill/>
      </xdr:spPr>
    </xdr:pic>
    <xdr:clientData fLocksWithSheet="0"/>
  </xdr:oneCellAnchor>
  <xdr:oneCellAnchor>
    <xdr:from>
      <xdr:col>0</xdr:col>
      <xdr:colOff>0</xdr:colOff>
      <xdr:row>214</xdr:row>
      <xdr:rowOff>0</xdr:rowOff>
    </xdr:from>
    <xdr:ext cx="200025" cy="200025"/>
    <xdr:pic>
      <xdr:nvPicPr>
        <xdr:cNvPr id="0" name="image347.png"/>
        <xdr:cNvPicPr preferRelativeResize="0"/>
      </xdr:nvPicPr>
      <xdr:blipFill>
        <a:blip cstate="print" r:embed="rId214"/>
        <a:stretch>
          <a:fillRect/>
        </a:stretch>
      </xdr:blipFill>
      <xdr:spPr>
        <a:prstGeom prst="rect">
          <a:avLst/>
        </a:prstGeom>
        <a:noFill/>
      </xdr:spPr>
    </xdr:pic>
    <xdr:clientData fLocksWithSheet="0"/>
  </xdr:oneCellAnchor>
  <xdr:oneCellAnchor>
    <xdr:from>
      <xdr:col>0</xdr:col>
      <xdr:colOff>0</xdr:colOff>
      <xdr:row>215</xdr:row>
      <xdr:rowOff>0</xdr:rowOff>
    </xdr:from>
    <xdr:ext cx="200025" cy="200025"/>
    <xdr:pic>
      <xdr:nvPicPr>
        <xdr:cNvPr id="0" name="image345.png"/>
        <xdr:cNvPicPr preferRelativeResize="0"/>
      </xdr:nvPicPr>
      <xdr:blipFill>
        <a:blip cstate="print" r:embed="rId215"/>
        <a:stretch>
          <a:fillRect/>
        </a:stretch>
      </xdr:blipFill>
      <xdr:spPr>
        <a:prstGeom prst="rect">
          <a:avLst/>
        </a:prstGeom>
        <a:noFill/>
      </xdr:spPr>
    </xdr:pic>
    <xdr:clientData fLocksWithSheet="0"/>
  </xdr:oneCellAnchor>
  <xdr:oneCellAnchor>
    <xdr:from>
      <xdr:col>0</xdr:col>
      <xdr:colOff>0</xdr:colOff>
      <xdr:row>216</xdr:row>
      <xdr:rowOff>0</xdr:rowOff>
    </xdr:from>
    <xdr:ext cx="200025" cy="200025"/>
    <xdr:pic>
      <xdr:nvPicPr>
        <xdr:cNvPr id="0" name="image346.png"/>
        <xdr:cNvPicPr preferRelativeResize="0"/>
      </xdr:nvPicPr>
      <xdr:blipFill>
        <a:blip cstate="print" r:embed="rId216"/>
        <a:stretch>
          <a:fillRect/>
        </a:stretch>
      </xdr:blipFill>
      <xdr:spPr>
        <a:prstGeom prst="rect">
          <a:avLst/>
        </a:prstGeom>
        <a:noFill/>
      </xdr:spPr>
    </xdr:pic>
    <xdr:clientData fLocksWithSheet="0"/>
  </xdr:oneCellAnchor>
  <xdr:oneCellAnchor>
    <xdr:from>
      <xdr:col>0</xdr:col>
      <xdr:colOff>0</xdr:colOff>
      <xdr:row>217</xdr:row>
      <xdr:rowOff>0</xdr:rowOff>
    </xdr:from>
    <xdr:ext cx="200025" cy="200025"/>
    <xdr:pic>
      <xdr:nvPicPr>
        <xdr:cNvPr id="0" name="image350.png"/>
        <xdr:cNvPicPr preferRelativeResize="0"/>
      </xdr:nvPicPr>
      <xdr:blipFill>
        <a:blip cstate="print" r:embed="rId217"/>
        <a:stretch>
          <a:fillRect/>
        </a:stretch>
      </xdr:blipFill>
      <xdr:spPr>
        <a:prstGeom prst="rect">
          <a:avLst/>
        </a:prstGeom>
        <a:noFill/>
      </xdr:spPr>
    </xdr:pic>
    <xdr:clientData fLocksWithSheet="0"/>
  </xdr:oneCellAnchor>
  <xdr:oneCellAnchor>
    <xdr:from>
      <xdr:col>0</xdr:col>
      <xdr:colOff>0</xdr:colOff>
      <xdr:row>218</xdr:row>
      <xdr:rowOff>0</xdr:rowOff>
    </xdr:from>
    <xdr:ext cx="200025" cy="200025"/>
    <xdr:pic>
      <xdr:nvPicPr>
        <xdr:cNvPr id="0" name="image371.png"/>
        <xdr:cNvPicPr preferRelativeResize="0"/>
      </xdr:nvPicPr>
      <xdr:blipFill>
        <a:blip cstate="print" r:embed="rId218"/>
        <a:stretch>
          <a:fillRect/>
        </a:stretch>
      </xdr:blipFill>
      <xdr:spPr>
        <a:prstGeom prst="rect">
          <a:avLst/>
        </a:prstGeom>
        <a:noFill/>
      </xdr:spPr>
    </xdr:pic>
    <xdr:clientData fLocksWithSheet="0"/>
  </xdr:oneCellAnchor>
  <xdr:oneCellAnchor>
    <xdr:from>
      <xdr:col>0</xdr:col>
      <xdr:colOff>0</xdr:colOff>
      <xdr:row>219</xdr:row>
      <xdr:rowOff>0</xdr:rowOff>
    </xdr:from>
    <xdr:ext cx="200025" cy="200025"/>
    <xdr:pic>
      <xdr:nvPicPr>
        <xdr:cNvPr id="0" name="image353.png"/>
        <xdr:cNvPicPr preferRelativeResize="0"/>
      </xdr:nvPicPr>
      <xdr:blipFill>
        <a:blip cstate="print" r:embed="rId219"/>
        <a:stretch>
          <a:fillRect/>
        </a:stretch>
      </xdr:blipFill>
      <xdr:spPr>
        <a:prstGeom prst="rect">
          <a:avLst/>
        </a:prstGeom>
        <a:noFill/>
      </xdr:spPr>
    </xdr:pic>
    <xdr:clientData fLocksWithSheet="0"/>
  </xdr:oneCellAnchor>
  <xdr:oneCellAnchor>
    <xdr:from>
      <xdr:col>0</xdr:col>
      <xdr:colOff>0</xdr:colOff>
      <xdr:row>220</xdr:row>
      <xdr:rowOff>0</xdr:rowOff>
    </xdr:from>
    <xdr:ext cx="200025" cy="200025"/>
    <xdr:pic>
      <xdr:nvPicPr>
        <xdr:cNvPr id="0" name="image349.png"/>
        <xdr:cNvPicPr preferRelativeResize="0"/>
      </xdr:nvPicPr>
      <xdr:blipFill>
        <a:blip cstate="print" r:embed="rId220"/>
        <a:stretch>
          <a:fillRect/>
        </a:stretch>
      </xdr:blipFill>
      <xdr:spPr>
        <a:prstGeom prst="rect">
          <a:avLst/>
        </a:prstGeom>
        <a:noFill/>
      </xdr:spPr>
    </xdr:pic>
    <xdr:clientData fLocksWithSheet="0"/>
  </xdr:oneCellAnchor>
  <xdr:oneCellAnchor>
    <xdr:from>
      <xdr:col>0</xdr:col>
      <xdr:colOff>0</xdr:colOff>
      <xdr:row>221</xdr:row>
      <xdr:rowOff>0</xdr:rowOff>
    </xdr:from>
    <xdr:ext cx="200025" cy="200025"/>
    <xdr:pic>
      <xdr:nvPicPr>
        <xdr:cNvPr id="0" name="image365.png"/>
        <xdr:cNvPicPr preferRelativeResize="0"/>
      </xdr:nvPicPr>
      <xdr:blipFill>
        <a:blip cstate="print" r:embed="rId221"/>
        <a:stretch>
          <a:fillRect/>
        </a:stretch>
      </xdr:blipFill>
      <xdr:spPr>
        <a:prstGeom prst="rect">
          <a:avLst/>
        </a:prstGeom>
        <a:noFill/>
      </xdr:spPr>
    </xdr:pic>
    <xdr:clientData fLocksWithSheet="0"/>
  </xdr:oneCellAnchor>
  <xdr:oneCellAnchor>
    <xdr:from>
      <xdr:col>0</xdr:col>
      <xdr:colOff>0</xdr:colOff>
      <xdr:row>222</xdr:row>
      <xdr:rowOff>0</xdr:rowOff>
    </xdr:from>
    <xdr:ext cx="200025" cy="200025"/>
    <xdr:pic>
      <xdr:nvPicPr>
        <xdr:cNvPr id="0" name="image355.png"/>
        <xdr:cNvPicPr preferRelativeResize="0"/>
      </xdr:nvPicPr>
      <xdr:blipFill>
        <a:blip cstate="print" r:embed="rId222"/>
        <a:stretch>
          <a:fillRect/>
        </a:stretch>
      </xdr:blipFill>
      <xdr:spPr>
        <a:prstGeom prst="rect">
          <a:avLst/>
        </a:prstGeom>
        <a:noFill/>
      </xdr:spPr>
    </xdr:pic>
    <xdr:clientData fLocksWithSheet="0"/>
  </xdr:oneCellAnchor>
  <xdr:oneCellAnchor>
    <xdr:from>
      <xdr:col>0</xdr:col>
      <xdr:colOff>0</xdr:colOff>
      <xdr:row>223</xdr:row>
      <xdr:rowOff>0</xdr:rowOff>
    </xdr:from>
    <xdr:ext cx="200025" cy="200025"/>
    <xdr:pic>
      <xdr:nvPicPr>
        <xdr:cNvPr id="0" name="image352.png"/>
        <xdr:cNvPicPr preferRelativeResize="0"/>
      </xdr:nvPicPr>
      <xdr:blipFill>
        <a:blip cstate="print" r:embed="rId223"/>
        <a:stretch>
          <a:fillRect/>
        </a:stretch>
      </xdr:blipFill>
      <xdr:spPr>
        <a:prstGeom prst="rect">
          <a:avLst/>
        </a:prstGeom>
        <a:noFill/>
      </xdr:spPr>
    </xdr:pic>
    <xdr:clientData fLocksWithSheet="0"/>
  </xdr:oneCellAnchor>
  <xdr:oneCellAnchor>
    <xdr:from>
      <xdr:col>0</xdr:col>
      <xdr:colOff>0</xdr:colOff>
      <xdr:row>224</xdr:row>
      <xdr:rowOff>0</xdr:rowOff>
    </xdr:from>
    <xdr:ext cx="200025" cy="200025"/>
    <xdr:pic>
      <xdr:nvPicPr>
        <xdr:cNvPr id="0" name="image356.png"/>
        <xdr:cNvPicPr preferRelativeResize="0"/>
      </xdr:nvPicPr>
      <xdr:blipFill>
        <a:blip cstate="print" r:embed="rId224"/>
        <a:stretch>
          <a:fillRect/>
        </a:stretch>
      </xdr:blipFill>
      <xdr:spPr>
        <a:prstGeom prst="rect">
          <a:avLst/>
        </a:prstGeom>
        <a:noFill/>
      </xdr:spPr>
    </xdr:pic>
    <xdr:clientData fLocksWithSheet="0"/>
  </xdr:oneCellAnchor>
  <xdr:oneCellAnchor>
    <xdr:from>
      <xdr:col>0</xdr:col>
      <xdr:colOff>0</xdr:colOff>
      <xdr:row>225</xdr:row>
      <xdr:rowOff>0</xdr:rowOff>
    </xdr:from>
    <xdr:ext cx="200025" cy="200025"/>
    <xdr:pic>
      <xdr:nvPicPr>
        <xdr:cNvPr id="0" name="image367.png"/>
        <xdr:cNvPicPr preferRelativeResize="0"/>
      </xdr:nvPicPr>
      <xdr:blipFill>
        <a:blip cstate="print" r:embed="rId225"/>
        <a:stretch>
          <a:fillRect/>
        </a:stretch>
      </xdr:blipFill>
      <xdr:spPr>
        <a:prstGeom prst="rect">
          <a:avLst/>
        </a:prstGeom>
        <a:noFill/>
      </xdr:spPr>
    </xdr:pic>
    <xdr:clientData fLocksWithSheet="0"/>
  </xdr:oneCellAnchor>
  <xdr:oneCellAnchor>
    <xdr:from>
      <xdr:col>0</xdr:col>
      <xdr:colOff>0</xdr:colOff>
      <xdr:row>226</xdr:row>
      <xdr:rowOff>0</xdr:rowOff>
    </xdr:from>
    <xdr:ext cx="200025" cy="200025"/>
    <xdr:pic>
      <xdr:nvPicPr>
        <xdr:cNvPr id="0" name="image357.png"/>
        <xdr:cNvPicPr preferRelativeResize="0"/>
      </xdr:nvPicPr>
      <xdr:blipFill>
        <a:blip cstate="print" r:embed="rId226"/>
        <a:stretch>
          <a:fillRect/>
        </a:stretch>
      </xdr:blipFill>
      <xdr:spPr>
        <a:prstGeom prst="rect">
          <a:avLst/>
        </a:prstGeom>
        <a:noFill/>
      </xdr:spPr>
    </xdr:pic>
    <xdr:clientData fLocksWithSheet="0"/>
  </xdr:oneCellAnchor>
  <xdr:oneCellAnchor>
    <xdr:from>
      <xdr:col>0</xdr:col>
      <xdr:colOff>0</xdr:colOff>
      <xdr:row>227</xdr:row>
      <xdr:rowOff>0</xdr:rowOff>
    </xdr:from>
    <xdr:ext cx="200025" cy="200025"/>
    <xdr:pic>
      <xdr:nvPicPr>
        <xdr:cNvPr id="0" name="image360.png"/>
        <xdr:cNvPicPr preferRelativeResize="0"/>
      </xdr:nvPicPr>
      <xdr:blipFill>
        <a:blip cstate="print" r:embed="rId227"/>
        <a:stretch>
          <a:fillRect/>
        </a:stretch>
      </xdr:blipFill>
      <xdr:spPr>
        <a:prstGeom prst="rect">
          <a:avLst/>
        </a:prstGeom>
        <a:noFill/>
      </xdr:spPr>
    </xdr:pic>
    <xdr:clientData fLocksWithSheet="0"/>
  </xdr:oneCellAnchor>
  <xdr:oneCellAnchor>
    <xdr:from>
      <xdr:col>0</xdr:col>
      <xdr:colOff>0</xdr:colOff>
      <xdr:row>228</xdr:row>
      <xdr:rowOff>0</xdr:rowOff>
    </xdr:from>
    <xdr:ext cx="200025" cy="200025"/>
    <xdr:pic>
      <xdr:nvPicPr>
        <xdr:cNvPr id="0" name="image363.png"/>
        <xdr:cNvPicPr preferRelativeResize="0"/>
      </xdr:nvPicPr>
      <xdr:blipFill>
        <a:blip cstate="print" r:embed="rId228"/>
        <a:stretch>
          <a:fillRect/>
        </a:stretch>
      </xdr:blipFill>
      <xdr:spPr>
        <a:prstGeom prst="rect">
          <a:avLst/>
        </a:prstGeom>
        <a:noFill/>
      </xdr:spPr>
    </xdr:pic>
    <xdr:clientData fLocksWithSheet="0"/>
  </xdr:oneCellAnchor>
  <xdr:oneCellAnchor>
    <xdr:from>
      <xdr:col>0</xdr:col>
      <xdr:colOff>0</xdr:colOff>
      <xdr:row>229</xdr:row>
      <xdr:rowOff>0</xdr:rowOff>
    </xdr:from>
    <xdr:ext cx="200025" cy="200025"/>
    <xdr:pic>
      <xdr:nvPicPr>
        <xdr:cNvPr id="0" name="image359.png"/>
        <xdr:cNvPicPr preferRelativeResize="0"/>
      </xdr:nvPicPr>
      <xdr:blipFill>
        <a:blip cstate="print" r:embed="rId229"/>
        <a:stretch>
          <a:fillRect/>
        </a:stretch>
      </xdr:blipFill>
      <xdr:spPr>
        <a:prstGeom prst="rect">
          <a:avLst/>
        </a:prstGeom>
        <a:noFill/>
      </xdr:spPr>
    </xdr:pic>
    <xdr:clientData fLocksWithSheet="0"/>
  </xdr:oneCellAnchor>
  <xdr:oneCellAnchor>
    <xdr:from>
      <xdr:col>0</xdr:col>
      <xdr:colOff>0</xdr:colOff>
      <xdr:row>230</xdr:row>
      <xdr:rowOff>0</xdr:rowOff>
    </xdr:from>
    <xdr:ext cx="200025" cy="200025"/>
    <xdr:pic>
      <xdr:nvPicPr>
        <xdr:cNvPr id="0" name="image362.png"/>
        <xdr:cNvPicPr preferRelativeResize="0"/>
      </xdr:nvPicPr>
      <xdr:blipFill>
        <a:blip cstate="print" r:embed="rId230"/>
        <a:stretch>
          <a:fillRect/>
        </a:stretch>
      </xdr:blipFill>
      <xdr:spPr>
        <a:prstGeom prst="rect">
          <a:avLst/>
        </a:prstGeom>
        <a:noFill/>
      </xdr:spPr>
    </xdr:pic>
    <xdr:clientData fLocksWithSheet="0"/>
  </xdr:oneCellAnchor>
  <xdr:oneCellAnchor>
    <xdr:from>
      <xdr:col>0</xdr:col>
      <xdr:colOff>0</xdr:colOff>
      <xdr:row>231</xdr:row>
      <xdr:rowOff>0</xdr:rowOff>
    </xdr:from>
    <xdr:ext cx="200025" cy="200025"/>
    <xdr:pic>
      <xdr:nvPicPr>
        <xdr:cNvPr id="0" name="image361.png"/>
        <xdr:cNvPicPr preferRelativeResize="0"/>
      </xdr:nvPicPr>
      <xdr:blipFill>
        <a:blip cstate="print" r:embed="rId231"/>
        <a:stretch>
          <a:fillRect/>
        </a:stretch>
      </xdr:blipFill>
      <xdr:spPr>
        <a:prstGeom prst="rect">
          <a:avLst/>
        </a:prstGeom>
        <a:noFill/>
      </xdr:spPr>
    </xdr:pic>
    <xdr:clientData fLocksWithSheet="0"/>
  </xdr:oneCellAnchor>
  <xdr:oneCellAnchor>
    <xdr:from>
      <xdr:col>0</xdr:col>
      <xdr:colOff>0</xdr:colOff>
      <xdr:row>232</xdr:row>
      <xdr:rowOff>0</xdr:rowOff>
    </xdr:from>
    <xdr:ext cx="200025" cy="200025"/>
    <xdr:pic>
      <xdr:nvPicPr>
        <xdr:cNvPr id="0" name="image358.png"/>
        <xdr:cNvPicPr preferRelativeResize="0"/>
      </xdr:nvPicPr>
      <xdr:blipFill>
        <a:blip cstate="print" r:embed="rId232"/>
        <a:stretch>
          <a:fillRect/>
        </a:stretch>
      </xdr:blipFill>
      <xdr:spPr>
        <a:prstGeom prst="rect">
          <a:avLst/>
        </a:prstGeom>
        <a:noFill/>
      </xdr:spPr>
    </xdr:pic>
    <xdr:clientData fLocksWithSheet="0"/>
  </xdr:oneCellAnchor>
  <xdr:oneCellAnchor>
    <xdr:from>
      <xdr:col>0</xdr:col>
      <xdr:colOff>0</xdr:colOff>
      <xdr:row>233</xdr:row>
      <xdr:rowOff>0</xdr:rowOff>
    </xdr:from>
    <xdr:ext cx="200025" cy="200025"/>
    <xdr:pic>
      <xdr:nvPicPr>
        <xdr:cNvPr id="0" name="image364.png"/>
        <xdr:cNvPicPr preferRelativeResize="0"/>
      </xdr:nvPicPr>
      <xdr:blipFill>
        <a:blip cstate="print" r:embed="rId233"/>
        <a:stretch>
          <a:fillRect/>
        </a:stretch>
      </xdr:blipFill>
      <xdr:spPr>
        <a:prstGeom prst="rect">
          <a:avLst/>
        </a:prstGeom>
        <a:noFill/>
      </xdr:spPr>
    </xdr:pic>
    <xdr:clientData fLocksWithSheet="0"/>
  </xdr:oneCellAnchor>
  <xdr:oneCellAnchor>
    <xdr:from>
      <xdr:col>0</xdr:col>
      <xdr:colOff>0</xdr:colOff>
      <xdr:row>234</xdr:row>
      <xdr:rowOff>0</xdr:rowOff>
    </xdr:from>
    <xdr:ext cx="200025" cy="200025"/>
    <xdr:pic>
      <xdr:nvPicPr>
        <xdr:cNvPr id="0" name="image368.png"/>
        <xdr:cNvPicPr preferRelativeResize="0"/>
      </xdr:nvPicPr>
      <xdr:blipFill>
        <a:blip cstate="print" r:embed="rId234"/>
        <a:stretch>
          <a:fillRect/>
        </a:stretch>
      </xdr:blipFill>
      <xdr:spPr>
        <a:prstGeom prst="rect">
          <a:avLst/>
        </a:prstGeom>
        <a:noFill/>
      </xdr:spPr>
    </xdr:pic>
    <xdr:clientData fLocksWithSheet="0"/>
  </xdr:oneCellAnchor>
  <xdr:oneCellAnchor>
    <xdr:from>
      <xdr:col>0</xdr:col>
      <xdr:colOff>0</xdr:colOff>
      <xdr:row>235</xdr:row>
      <xdr:rowOff>0</xdr:rowOff>
    </xdr:from>
    <xdr:ext cx="200025" cy="200025"/>
    <xdr:pic>
      <xdr:nvPicPr>
        <xdr:cNvPr id="0" name="image373.png"/>
        <xdr:cNvPicPr preferRelativeResize="0"/>
      </xdr:nvPicPr>
      <xdr:blipFill>
        <a:blip cstate="print" r:embed="rId235"/>
        <a:stretch>
          <a:fillRect/>
        </a:stretch>
      </xdr:blipFill>
      <xdr:spPr>
        <a:prstGeom prst="rect">
          <a:avLst/>
        </a:prstGeom>
        <a:noFill/>
      </xdr:spPr>
    </xdr:pic>
    <xdr:clientData fLocksWithSheet="0"/>
  </xdr:oneCellAnchor>
  <xdr:oneCellAnchor>
    <xdr:from>
      <xdr:col>0</xdr:col>
      <xdr:colOff>0</xdr:colOff>
      <xdr:row>236</xdr:row>
      <xdr:rowOff>0</xdr:rowOff>
    </xdr:from>
    <xdr:ext cx="200025" cy="200025"/>
    <xdr:pic>
      <xdr:nvPicPr>
        <xdr:cNvPr id="0" name="image390.png"/>
        <xdr:cNvPicPr preferRelativeResize="0"/>
      </xdr:nvPicPr>
      <xdr:blipFill>
        <a:blip cstate="print" r:embed="rId236"/>
        <a:stretch>
          <a:fillRect/>
        </a:stretch>
      </xdr:blipFill>
      <xdr:spPr>
        <a:prstGeom prst="rect">
          <a:avLst/>
        </a:prstGeom>
        <a:noFill/>
      </xdr:spPr>
    </xdr:pic>
    <xdr:clientData fLocksWithSheet="0"/>
  </xdr:oneCellAnchor>
  <xdr:oneCellAnchor>
    <xdr:from>
      <xdr:col>0</xdr:col>
      <xdr:colOff>0</xdr:colOff>
      <xdr:row>237</xdr:row>
      <xdr:rowOff>0</xdr:rowOff>
    </xdr:from>
    <xdr:ext cx="200025" cy="200025"/>
    <xdr:pic>
      <xdr:nvPicPr>
        <xdr:cNvPr id="0" name="image369.png"/>
        <xdr:cNvPicPr preferRelativeResize="0"/>
      </xdr:nvPicPr>
      <xdr:blipFill>
        <a:blip cstate="print" r:embed="rId237"/>
        <a:stretch>
          <a:fillRect/>
        </a:stretch>
      </xdr:blipFill>
      <xdr:spPr>
        <a:prstGeom prst="rect">
          <a:avLst/>
        </a:prstGeom>
        <a:noFill/>
      </xdr:spPr>
    </xdr:pic>
    <xdr:clientData fLocksWithSheet="0"/>
  </xdr:oneCellAnchor>
  <xdr:oneCellAnchor>
    <xdr:from>
      <xdr:col>0</xdr:col>
      <xdr:colOff>0</xdr:colOff>
      <xdr:row>238</xdr:row>
      <xdr:rowOff>0</xdr:rowOff>
    </xdr:from>
    <xdr:ext cx="200025" cy="200025"/>
    <xdr:pic>
      <xdr:nvPicPr>
        <xdr:cNvPr id="0" name="image374.png"/>
        <xdr:cNvPicPr preferRelativeResize="0"/>
      </xdr:nvPicPr>
      <xdr:blipFill>
        <a:blip cstate="print" r:embed="rId238"/>
        <a:stretch>
          <a:fillRect/>
        </a:stretch>
      </xdr:blipFill>
      <xdr:spPr>
        <a:prstGeom prst="rect">
          <a:avLst/>
        </a:prstGeom>
        <a:noFill/>
      </xdr:spPr>
    </xdr:pic>
    <xdr:clientData fLocksWithSheet="0"/>
  </xdr:oneCellAnchor>
  <xdr:oneCellAnchor>
    <xdr:from>
      <xdr:col>0</xdr:col>
      <xdr:colOff>0</xdr:colOff>
      <xdr:row>239</xdr:row>
      <xdr:rowOff>0</xdr:rowOff>
    </xdr:from>
    <xdr:ext cx="200025" cy="200025"/>
    <xdr:pic>
      <xdr:nvPicPr>
        <xdr:cNvPr id="0" name="image376.png"/>
        <xdr:cNvPicPr preferRelativeResize="0"/>
      </xdr:nvPicPr>
      <xdr:blipFill>
        <a:blip cstate="print" r:embed="rId239"/>
        <a:stretch>
          <a:fillRect/>
        </a:stretch>
      </xdr:blipFill>
      <xdr:spPr>
        <a:prstGeom prst="rect">
          <a:avLst/>
        </a:prstGeom>
        <a:noFill/>
      </xdr:spPr>
    </xdr:pic>
    <xdr:clientData fLocksWithSheet="0"/>
  </xdr:oneCellAnchor>
  <xdr:oneCellAnchor>
    <xdr:from>
      <xdr:col>0</xdr:col>
      <xdr:colOff>0</xdr:colOff>
      <xdr:row>240</xdr:row>
      <xdr:rowOff>0</xdr:rowOff>
    </xdr:from>
    <xdr:ext cx="200025" cy="200025"/>
    <xdr:pic>
      <xdr:nvPicPr>
        <xdr:cNvPr id="0" name="image375.png"/>
        <xdr:cNvPicPr preferRelativeResize="0"/>
      </xdr:nvPicPr>
      <xdr:blipFill>
        <a:blip cstate="print" r:embed="rId240"/>
        <a:stretch>
          <a:fillRect/>
        </a:stretch>
      </xdr:blipFill>
      <xdr:spPr>
        <a:prstGeom prst="rect">
          <a:avLst/>
        </a:prstGeom>
        <a:noFill/>
      </xdr:spPr>
    </xdr:pic>
    <xdr:clientData fLocksWithSheet="0"/>
  </xdr:oneCellAnchor>
  <xdr:oneCellAnchor>
    <xdr:from>
      <xdr:col>0</xdr:col>
      <xdr:colOff>0</xdr:colOff>
      <xdr:row>241</xdr:row>
      <xdr:rowOff>0</xdr:rowOff>
    </xdr:from>
    <xdr:ext cx="200025" cy="200025"/>
    <xdr:pic>
      <xdr:nvPicPr>
        <xdr:cNvPr id="0" name="image379.png"/>
        <xdr:cNvPicPr preferRelativeResize="0"/>
      </xdr:nvPicPr>
      <xdr:blipFill>
        <a:blip cstate="print" r:embed="rId241"/>
        <a:stretch>
          <a:fillRect/>
        </a:stretch>
      </xdr:blipFill>
      <xdr:spPr>
        <a:prstGeom prst="rect">
          <a:avLst/>
        </a:prstGeom>
        <a:noFill/>
      </xdr:spPr>
    </xdr:pic>
    <xdr:clientData fLocksWithSheet="0"/>
  </xdr:oneCellAnchor>
  <xdr:oneCellAnchor>
    <xdr:from>
      <xdr:col>0</xdr:col>
      <xdr:colOff>0</xdr:colOff>
      <xdr:row>242</xdr:row>
      <xdr:rowOff>0</xdr:rowOff>
    </xdr:from>
    <xdr:ext cx="200025" cy="200025"/>
    <xdr:pic>
      <xdr:nvPicPr>
        <xdr:cNvPr id="0" name="image377.png"/>
        <xdr:cNvPicPr preferRelativeResize="0"/>
      </xdr:nvPicPr>
      <xdr:blipFill>
        <a:blip cstate="print" r:embed="rId242"/>
        <a:stretch>
          <a:fillRect/>
        </a:stretch>
      </xdr:blipFill>
      <xdr:spPr>
        <a:prstGeom prst="rect">
          <a:avLst/>
        </a:prstGeom>
        <a:noFill/>
      </xdr:spPr>
    </xdr:pic>
    <xdr:clientData fLocksWithSheet="0"/>
  </xdr:oneCellAnchor>
  <xdr:oneCellAnchor>
    <xdr:from>
      <xdr:col>0</xdr:col>
      <xdr:colOff>0</xdr:colOff>
      <xdr:row>243</xdr:row>
      <xdr:rowOff>0</xdr:rowOff>
    </xdr:from>
    <xdr:ext cx="200025" cy="200025"/>
    <xdr:pic>
      <xdr:nvPicPr>
        <xdr:cNvPr id="0" name="image389.png"/>
        <xdr:cNvPicPr preferRelativeResize="0"/>
      </xdr:nvPicPr>
      <xdr:blipFill>
        <a:blip cstate="print" r:embed="rId243"/>
        <a:stretch>
          <a:fillRect/>
        </a:stretch>
      </xdr:blipFill>
      <xdr:spPr>
        <a:prstGeom prst="rect">
          <a:avLst/>
        </a:prstGeom>
        <a:noFill/>
      </xdr:spPr>
    </xdr:pic>
    <xdr:clientData fLocksWithSheet="0"/>
  </xdr:oneCellAnchor>
  <xdr:oneCellAnchor>
    <xdr:from>
      <xdr:col>0</xdr:col>
      <xdr:colOff>0</xdr:colOff>
      <xdr:row>244</xdr:row>
      <xdr:rowOff>0</xdr:rowOff>
    </xdr:from>
    <xdr:ext cx="200025" cy="200025"/>
    <xdr:pic>
      <xdr:nvPicPr>
        <xdr:cNvPr id="0" name="image380.png"/>
        <xdr:cNvPicPr preferRelativeResize="0"/>
      </xdr:nvPicPr>
      <xdr:blipFill>
        <a:blip cstate="print" r:embed="rId244"/>
        <a:stretch>
          <a:fillRect/>
        </a:stretch>
      </xdr:blipFill>
      <xdr:spPr>
        <a:prstGeom prst="rect">
          <a:avLst/>
        </a:prstGeom>
        <a:noFill/>
      </xdr:spPr>
    </xdr:pic>
    <xdr:clientData fLocksWithSheet="0"/>
  </xdr:oneCellAnchor>
  <xdr:oneCellAnchor>
    <xdr:from>
      <xdr:col>0</xdr:col>
      <xdr:colOff>0</xdr:colOff>
      <xdr:row>245</xdr:row>
      <xdr:rowOff>0</xdr:rowOff>
    </xdr:from>
    <xdr:ext cx="200025" cy="200025"/>
    <xdr:pic>
      <xdr:nvPicPr>
        <xdr:cNvPr id="0" name="image378.png"/>
        <xdr:cNvPicPr preferRelativeResize="0"/>
      </xdr:nvPicPr>
      <xdr:blipFill>
        <a:blip cstate="print" r:embed="rId245"/>
        <a:stretch>
          <a:fillRect/>
        </a:stretch>
      </xdr:blipFill>
      <xdr:spPr>
        <a:prstGeom prst="rect">
          <a:avLst/>
        </a:prstGeom>
        <a:noFill/>
      </xdr:spPr>
    </xdr:pic>
    <xdr:clientData fLocksWithSheet="0"/>
  </xdr:oneCellAnchor>
  <xdr:oneCellAnchor>
    <xdr:from>
      <xdr:col>0</xdr:col>
      <xdr:colOff>0</xdr:colOff>
      <xdr:row>246</xdr:row>
      <xdr:rowOff>0</xdr:rowOff>
    </xdr:from>
    <xdr:ext cx="200025" cy="200025"/>
    <xdr:pic>
      <xdr:nvPicPr>
        <xdr:cNvPr id="0" name="image381.png"/>
        <xdr:cNvPicPr preferRelativeResize="0"/>
      </xdr:nvPicPr>
      <xdr:blipFill>
        <a:blip cstate="print" r:embed="rId246"/>
        <a:stretch>
          <a:fillRect/>
        </a:stretch>
      </xdr:blipFill>
      <xdr:spPr>
        <a:prstGeom prst="rect">
          <a:avLst/>
        </a:prstGeom>
        <a:noFill/>
      </xdr:spPr>
    </xdr:pic>
    <xdr:clientData fLocksWithSheet="0"/>
  </xdr:oneCellAnchor>
  <xdr:oneCellAnchor>
    <xdr:from>
      <xdr:col>0</xdr:col>
      <xdr:colOff>0</xdr:colOff>
      <xdr:row>247</xdr:row>
      <xdr:rowOff>0</xdr:rowOff>
    </xdr:from>
    <xdr:ext cx="200025" cy="200025"/>
    <xdr:pic>
      <xdr:nvPicPr>
        <xdr:cNvPr id="0" name="image382.png"/>
        <xdr:cNvPicPr preferRelativeResize="0"/>
      </xdr:nvPicPr>
      <xdr:blipFill>
        <a:blip cstate="print" r:embed="rId247"/>
        <a:stretch>
          <a:fillRect/>
        </a:stretch>
      </xdr:blipFill>
      <xdr:spPr>
        <a:prstGeom prst="rect">
          <a:avLst/>
        </a:prstGeom>
        <a:noFill/>
      </xdr:spPr>
    </xdr:pic>
    <xdr:clientData fLocksWithSheet="0"/>
  </xdr:oneCellAnchor>
  <xdr:oneCellAnchor>
    <xdr:from>
      <xdr:col>0</xdr:col>
      <xdr:colOff>0</xdr:colOff>
      <xdr:row>248</xdr:row>
      <xdr:rowOff>0</xdr:rowOff>
    </xdr:from>
    <xdr:ext cx="200025" cy="200025"/>
    <xdr:pic>
      <xdr:nvPicPr>
        <xdr:cNvPr id="0" name="image383.png"/>
        <xdr:cNvPicPr preferRelativeResize="0"/>
      </xdr:nvPicPr>
      <xdr:blipFill>
        <a:blip cstate="print" r:embed="rId248"/>
        <a:stretch>
          <a:fillRect/>
        </a:stretch>
      </xdr:blipFill>
      <xdr:spPr>
        <a:prstGeom prst="rect">
          <a:avLst/>
        </a:prstGeom>
        <a:noFill/>
      </xdr:spPr>
    </xdr:pic>
    <xdr:clientData fLocksWithSheet="0"/>
  </xdr:oneCellAnchor>
  <xdr:oneCellAnchor>
    <xdr:from>
      <xdr:col>0</xdr:col>
      <xdr:colOff>0</xdr:colOff>
      <xdr:row>249</xdr:row>
      <xdr:rowOff>0</xdr:rowOff>
    </xdr:from>
    <xdr:ext cx="200025" cy="200025"/>
    <xdr:pic>
      <xdr:nvPicPr>
        <xdr:cNvPr id="0" name="image384.png"/>
        <xdr:cNvPicPr preferRelativeResize="0"/>
      </xdr:nvPicPr>
      <xdr:blipFill>
        <a:blip cstate="print" r:embed="rId249"/>
        <a:stretch>
          <a:fillRect/>
        </a:stretch>
      </xdr:blipFill>
      <xdr:spPr>
        <a:prstGeom prst="rect">
          <a:avLst/>
        </a:prstGeom>
        <a:noFill/>
      </xdr:spPr>
    </xdr:pic>
    <xdr:clientData fLocksWithSheet="0"/>
  </xdr:oneCellAnchor>
  <xdr:oneCellAnchor>
    <xdr:from>
      <xdr:col>0</xdr:col>
      <xdr:colOff>0</xdr:colOff>
      <xdr:row>250</xdr:row>
      <xdr:rowOff>0</xdr:rowOff>
    </xdr:from>
    <xdr:ext cx="200025" cy="200025"/>
    <xdr:pic>
      <xdr:nvPicPr>
        <xdr:cNvPr id="0" name="image385.png"/>
        <xdr:cNvPicPr preferRelativeResize="0"/>
      </xdr:nvPicPr>
      <xdr:blipFill>
        <a:blip cstate="print" r:embed="rId250"/>
        <a:stretch>
          <a:fillRect/>
        </a:stretch>
      </xdr:blipFill>
      <xdr:spPr>
        <a:prstGeom prst="rect">
          <a:avLst/>
        </a:prstGeom>
        <a:noFill/>
      </xdr:spPr>
    </xdr:pic>
    <xdr:clientData fLocksWithSheet="0"/>
  </xdr:oneCellAnchor>
  <xdr:oneCellAnchor>
    <xdr:from>
      <xdr:col>0</xdr:col>
      <xdr:colOff>0</xdr:colOff>
      <xdr:row>251</xdr:row>
      <xdr:rowOff>0</xdr:rowOff>
    </xdr:from>
    <xdr:ext cx="200025" cy="200025"/>
    <xdr:pic>
      <xdr:nvPicPr>
        <xdr:cNvPr id="0" name="image387.png"/>
        <xdr:cNvPicPr preferRelativeResize="0"/>
      </xdr:nvPicPr>
      <xdr:blipFill>
        <a:blip cstate="print" r:embed="rId251"/>
        <a:stretch>
          <a:fillRect/>
        </a:stretch>
      </xdr:blipFill>
      <xdr:spPr>
        <a:prstGeom prst="rect">
          <a:avLst/>
        </a:prstGeom>
        <a:noFill/>
      </xdr:spPr>
    </xdr:pic>
    <xdr:clientData fLocksWithSheet="0"/>
  </xdr:oneCellAnchor>
</xdr:wsDr>
</file>

<file path=xl/drawings/drawing7.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8.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tables/table1.xml><?xml version="1.0" encoding="utf-8"?>
<table xmlns="http://schemas.openxmlformats.org/spreadsheetml/2006/main" headerRowCount="0" ref="A1:C28" displayName="Table_1" id="1">
  <tableColumns count="3">
    <tableColumn name="Column1" id="1"/>
    <tableColumn name="Column2" id="2"/>
    <tableColumn name="Column3" id="3"/>
  </tableColumns>
  <tableStyleInfo name="TotK Armor Upgrade Sheet-style" showColumnStripes="0" showFirstColumn="1" showLastColumn="1" showRowStripes="1"/>
  <extLst>
    <ext uri="GoogleSheetsCustomDataVersion1">
      <go:sheetsCustomData xmlns:go="http://customooxmlschemas.google.com/" headerRowCount="1"/>
    </ext>
  </extLst>
</table>
</file>

<file path=xl/theme/theme1.xml><?xml version="1.0" encoding="utf-8"?>
<a:theme xmlns:a="http://schemas.openxmlformats.org/drawingml/2006/main" xmlns:r="http://schemas.openxmlformats.org/officeDocument/2006/relationships" name="Sheets">
  <a:themeElements>
    <a:clrScheme name="Sheets">
      <a:dk1>
        <a:srgbClr val="000000"/>
      </a:dk1>
      <a:lt1>
        <a:srgbClr val="FFFFFF"/>
      </a:lt1>
      <a:dk2>
        <a:srgbClr val="000000"/>
      </a:dk2>
      <a:lt2>
        <a:srgbClr val="FFFFFF"/>
      </a:lt2>
      <a:accent1>
        <a:srgbClr val="4285F4"/>
      </a:accent1>
      <a:accent2>
        <a:srgbClr val="EA4335"/>
      </a:accent2>
      <a:accent3>
        <a:srgbClr val="FBBC04"/>
      </a:accent3>
      <a:accent4>
        <a:srgbClr val="34A853"/>
      </a:accent4>
      <a:accent5>
        <a:srgbClr val="FF6D01"/>
      </a:accent5>
      <a:accent6>
        <a:srgbClr val="46BDC6"/>
      </a:accent6>
      <a:hlink>
        <a:srgbClr val="1155CC"/>
      </a:hlink>
      <a:folHlink>
        <a:srgbClr val="1155CC"/>
      </a:folHlink>
    </a:clrScheme>
    <a:fontScheme name="Sheets">
      <a:majorFont>
        <a:latin typeface="Arial"/>
        <a:ea typeface="Arial"/>
        <a:cs typeface="Arial"/>
      </a:majorFont>
      <a:minorFont>
        <a:latin typeface="Arial"/>
        <a:ea typeface="Arial"/>
        <a:cs typeface="Arial"/>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theme>
</file>

<file path=xl/worksheets/_rels/sheet1.xml.rels><?xml version="1.0" encoding="UTF-8" standalone="yes"?><Relationships xmlns="http://schemas.openxmlformats.org/package/2006/relationships"><Relationship Id="rId1" Type="http://schemas.openxmlformats.org/officeDocument/2006/relationships/hyperlink" Target="https://www.youtube.com/playlist?list=PLwGyU0mZTYHWYnzWXEuqVSO4nLO9F53Um" TargetMode="External"/><Relationship Id="rId2" Type="http://schemas.openxmlformats.org/officeDocument/2006/relationships/drawing" Target="../drawings/drawing1.xml"/><Relationship Id="rId4" Type="http://schemas.openxmlformats.org/officeDocument/2006/relationships/table" Target="../tables/table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1" Type="http://schemas.openxmlformats.org/officeDocument/2006/relationships/comments" Target="../comments1.xml"/><Relationship Id="rId2" Type="http://schemas.openxmlformats.org/officeDocument/2006/relationships/drawing" Target="../drawings/drawing4.xml"/><Relationship Id="rId3" Type="http://schemas.openxmlformats.org/officeDocument/2006/relationships/vmlDrawing" Target="../drawings/vmlDrawing1.v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7.xml.rels><?xml version="1.0" encoding="UTF-8" standalone="yes"?><Relationships xmlns="http://schemas.openxmlformats.org/package/2006/relationships"><Relationship Id="rId1" Type="http://schemas.openxmlformats.org/officeDocument/2006/relationships/comments" Target="../comments2.xml"/><Relationship Id="rId2" Type="http://schemas.openxmlformats.org/officeDocument/2006/relationships/drawing" Target="../drawings/drawing7.xml"/><Relationship Id="rId3" Type="http://schemas.openxmlformats.org/officeDocument/2006/relationships/vmlDrawing" Target="../drawings/vmlDrawing2.v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8.xml"/></Relationships>
</file>

<file path=xl/worksheets/sheet1.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showGridLines="0" workbookViewId="0"/>
  </sheetViews>
  <sheetFormatPr customHeight="1" defaultColWidth="12.63" defaultRowHeight="15.75"/>
  <cols>
    <col customWidth="1" min="2" max="2" width="68.0"/>
  </cols>
  <sheetData>
    <row r="1">
      <c r="A1" s="1"/>
      <c r="B1" s="2" t="s">
        <v>0</v>
      </c>
      <c r="C1" s="3"/>
    </row>
    <row r="2">
      <c r="A2" s="1"/>
      <c r="B2" s="4" t="s">
        <v>1</v>
      </c>
      <c r="C2" s="3"/>
    </row>
    <row r="3">
      <c r="A3" s="1"/>
      <c r="B3" s="5" t="s">
        <v>2</v>
      </c>
      <c r="C3" s="3"/>
    </row>
    <row r="4">
      <c r="A4" s="1"/>
      <c r="B4" s="5" t="s">
        <v>3</v>
      </c>
      <c r="C4" s="3"/>
    </row>
    <row r="5">
      <c r="A5" s="1"/>
      <c r="B5" s="6" t="s">
        <v>4</v>
      </c>
      <c r="C5" s="3"/>
    </row>
    <row r="6">
      <c r="A6" s="1"/>
      <c r="B6" s="7" t="s">
        <v>5</v>
      </c>
      <c r="C6" s="3"/>
    </row>
    <row r="7">
      <c r="A7" s="8"/>
      <c r="B7" s="9" t="s">
        <v>6</v>
      </c>
      <c r="C7" s="3"/>
    </row>
    <row r="8">
      <c r="A8" s="8" t="s">
        <v>7</v>
      </c>
      <c r="B8" s="10" t="s">
        <v>8</v>
      </c>
      <c r="C8" s="3"/>
    </row>
    <row r="9">
      <c r="A9" s="8" t="s">
        <v>9</v>
      </c>
      <c r="B9" s="9" t="s">
        <v>10</v>
      </c>
      <c r="C9" s="3"/>
    </row>
    <row r="10">
      <c r="A10" s="8" t="s">
        <v>11</v>
      </c>
      <c r="B10" s="9" t="s">
        <v>12</v>
      </c>
      <c r="C10" s="3"/>
    </row>
    <row r="11">
      <c r="A11" s="8"/>
      <c r="B11" s="7" t="s">
        <v>13</v>
      </c>
      <c r="C11" s="3"/>
    </row>
    <row r="12">
      <c r="A12" s="8" t="s">
        <v>14</v>
      </c>
      <c r="B12" s="9" t="s">
        <v>15</v>
      </c>
      <c r="C12" s="3"/>
    </row>
    <row r="13">
      <c r="A13" s="8" t="s">
        <v>16</v>
      </c>
      <c r="B13" s="9" t="s">
        <v>17</v>
      </c>
      <c r="C13" s="3"/>
    </row>
    <row r="14">
      <c r="A14" s="1"/>
      <c r="B14" s="3"/>
      <c r="C14" s="3"/>
    </row>
    <row r="15">
      <c r="A15" s="1"/>
      <c r="B15" s="11" t="s">
        <v>18</v>
      </c>
      <c r="C15" s="3"/>
    </row>
    <row r="16">
      <c r="A16" s="1"/>
      <c r="B16" s="12" t="s">
        <v>19</v>
      </c>
      <c r="C16" s="3"/>
    </row>
    <row r="17">
      <c r="A17" s="1"/>
      <c r="B17" s="13" t="s">
        <v>20</v>
      </c>
      <c r="C17" s="3"/>
    </row>
    <row r="18">
      <c r="A18" s="1"/>
      <c r="B18" s="12" t="s">
        <v>21</v>
      </c>
      <c r="C18" s="3"/>
    </row>
    <row r="19">
      <c r="A19" s="1"/>
      <c r="B19" s="12" t="s">
        <v>22</v>
      </c>
      <c r="C19" s="3"/>
    </row>
    <row r="20">
      <c r="A20" s="1"/>
      <c r="B20" s="12" t="s">
        <v>23</v>
      </c>
      <c r="C20" s="3"/>
    </row>
    <row r="21">
      <c r="A21" s="1"/>
      <c r="B21" s="3"/>
      <c r="C21" s="3"/>
    </row>
    <row r="22">
      <c r="A22" s="1"/>
      <c r="B22" s="12" t="s">
        <v>24</v>
      </c>
      <c r="C22" s="3"/>
    </row>
    <row r="23">
      <c r="A23" s="1"/>
      <c r="B23" s="7" t="s">
        <v>25</v>
      </c>
      <c r="C23" s="3"/>
    </row>
    <row r="24">
      <c r="A24" s="8" t="s">
        <v>11</v>
      </c>
      <c r="B24" s="14" t="s">
        <v>26</v>
      </c>
      <c r="C24" s="3"/>
    </row>
    <row r="25">
      <c r="A25" s="8" t="s">
        <v>27</v>
      </c>
      <c r="B25" s="5" t="s">
        <v>28</v>
      </c>
      <c r="C25" s="3"/>
    </row>
    <row r="26">
      <c r="A26" s="8" t="s">
        <v>29</v>
      </c>
      <c r="B26" s="14" t="s">
        <v>30</v>
      </c>
      <c r="C26" s="3"/>
    </row>
    <row r="27">
      <c r="A27" s="8" t="s">
        <v>31</v>
      </c>
      <c r="B27" s="14" t="s">
        <v>32</v>
      </c>
      <c r="C27" s="3"/>
    </row>
    <row r="28">
      <c r="A28" s="1"/>
      <c r="B28" s="3"/>
      <c r="C28" s="3"/>
    </row>
  </sheetData>
  <hyperlinks>
    <hyperlink r:id="rId1" ref="B17"/>
  </hyperlinks>
  <drawing r:id="rId2"/>
  <tableParts count="1">
    <tablePart r:id="rId4"/>
  </tableParts>
</worksheet>
</file>

<file path=xl/worksheets/sheet2.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pane xSplit="10.0" ySplit="1.0" topLeftCell="K2" activePane="bottomRight" state="frozen"/>
      <selection activeCell="K1" sqref="K1" pane="topRight"/>
      <selection activeCell="A2" sqref="A2" pane="bottomLeft"/>
      <selection activeCell="K2" sqref="K2" pane="bottomRight"/>
    </sheetView>
  </sheetViews>
  <sheetFormatPr customHeight="1" defaultColWidth="12.63" defaultRowHeight="15.75"/>
  <cols>
    <col customWidth="1" min="1" max="1" width="3.25"/>
    <col customWidth="1" min="2" max="3" width="5.13"/>
    <col customWidth="1" min="4" max="4" width="17.63"/>
    <col customWidth="1" min="5" max="5" width="7.63"/>
    <col customWidth="1" min="6" max="10" width="3.63"/>
    <col customWidth="1" min="11" max="11" width="2.63"/>
    <col customWidth="1" min="12" max="12" width="27.63"/>
    <col customWidth="1" min="13" max="13" width="2.63"/>
    <col customWidth="1" min="14" max="14" width="27.63"/>
    <col customWidth="1" min="15" max="15" width="2.63"/>
    <col customWidth="1" min="16" max="16" width="27.63"/>
    <col customWidth="1" min="17" max="17" width="2.63"/>
    <col customWidth="1" min="18" max="18" width="27.63"/>
    <col customWidth="1" min="19" max="19" width="2.63"/>
  </cols>
  <sheetData>
    <row r="1" ht="60.0" customHeight="1">
      <c r="A1" s="15" t="s">
        <v>33</v>
      </c>
      <c r="B1" s="16" t="s">
        <v>34</v>
      </c>
      <c r="C1" s="17" t="s">
        <v>35</v>
      </c>
      <c r="D1" s="18" t="s">
        <v>36</v>
      </c>
      <c r="E1" s="19" t="s">
        <v>37</v>
      </c>
      <c r="F1" s="20" t="s">
        <v>38</v>
      </c>
      <c r="G1" s="20" t="s">
        <v>39</v>
      </c>
      <c r="H1" s="20" t="s">
        <v>40</v>
      </c>
      <c r="I1" s="20" t="s">
        <v>41</v>
      </c>
      <c r="J1" s="20" t="s">
        <v>42</v>
      </c>
      <c r="K1" s="21" t="s">
        <v>43</v>
      </c>
      <c r="L1" s="22" t="s">
        <v>44</v>
      </c>
      <c r="M1" s="23" t="s">
        <v>45</v>
      </c>
      <c r="N1" s="22" t="s">
        <v>46</v>
      </c>
      <c r="O1" s="23" t="s">
        <v>47</v>
      </c>
      <c r="P1" s="22" t="s">
        <v>48</v>
      </c>
      <c r="Q1" s="23" t="s">
        <v>49</v>
      </c>
      <c r="R1" s="22" t="s">
        <v>50</v>
      </c>
      <c r="S1" s="24" t="s">
        <v>51</v>
      </c>
    </row>
    <row r="2" ht="60.0" customHeight="1">
      <c r="A2" s="25">
        <v>1.0</v>
      </c>
      <c r="B2" s="25" t="s">
        <v>52</v>
      </c>
      <c r="C2" s="25" t="s">
        <v>53</v>
      </c>
      <c r="D2" s="26" t="s">
        <v>54</v>
      </c>
      <c r="E2" s="27" t="str">
        <f t="array" ref="E2">vlookup(D2, {Armor!C:C,Armor!A:A}, 2, 0)</f>
        <v/>
      </c>
      <c r="F2" s="28"/>
      <c r="G2" s="27" t="s">
        <v>55</v>
      </c>
      <c r="H2" s="27" t="s">
        <v>55</v>
      </c>
      <c r="I2" s="27" t="s">
        <v>55</v>
      </c>
      <c r="J2" s="27" t="s">
        <v>55</v>
      </c>
      <c r="K2" s="29">
        <f t="array" ref="K2">vlookup(D2, {Armor!C:C,Armor!D:D}, 2, 0)</f>
        <v>1</v>
      </c>
      <c r="L2" s="27" t="str">
        <f t="array" ref="L2">vlookup(D2, {Costs!B:B,Costs!C:C}, 2, 0)</f>
        <v>N/A</v>
      </c>
      <c r="M2" s="30" t="str">
        <f t="array" ref="M2">vlookup(D2, {Armor!C:C,Armor!E:E}, 2, 0)</f>
        <v>N/A</v>
      </c>
      <c r="N2" s="27" t="str">
        <f t="array" ref="N2">vlookup(D2, {Costs!B:B,Costs!D:D}, 2, 0)</f>
        <v>N/A</v>
      </c>
      <c r="O2" s="30" t="str">
        <f t="array" ref="O2">vlookup(D2, {Armor!C:C,Armor!F:F}, 2, 0)</f>
        <v>N/A</v>
      </c>
      <c r="P2" s="27" t="str">
        <f t="array" ref="P2">vlookup(D2, {Costs!B:B,Costs!E:E}, 2, 0)</f>
        <v>N/A</v>
      </c>
      <c r="Q2" s="30" t="str">
        <f t="array" ref="Q2">vlookup(D2, {Armor!C:C,Armor!G:G}, 2, 0)</f>
        <v>N/A</v>
      </c>
      <c r="R2" s="27" t="str">
        <f t="array" ref="R2">vlookup(D2, {Costs!B:B,Costs!F:F}, 2, 0)</f>
        <v>N/A</v>
      </c>
      <c r="S2" s="26" t="str">
        <f t="array" ref="S2">vlookup(D2, {Armor!C:C,Armor!H:H}, 2, 0)</f>
        <v>N/A</v>
      </c>
    </row>
    <row r="3" ht="60.0" customHeight="1">
      <c r="A3" s="31">
        <v>2.0</v>
      </c>
      <c r="B3" s="31" t="s">
        <v>52</v>
      </c>
      <c r="C3" s="31" t="s">
        <v>56</v>
      </c>
      <c r="D3" s="32" t="s">
        <v>57</v>
      </c>
      <c r="E3" s="33" t="str">
        <f t="array" ref="E3">vlookup(D3, {Armor!C:C,Armor!A:A}, 2, 0)</f>
        <v/>
      </c>
      <c r="F3" s="34"/>
      <c r="G3" s="33" t="s">
        <v>55</v>
      </c>
      <c r="H3" s="33" t="s">
        <v>55</v>
      </c>
      <c r="I3" s="33" t="s">
        <v>55</v>
      </c>
      <c r="J3" s="33" t="s">
        <v>55</v>
      </c>
      <c r="K3" s="35">
        <f t="array" ref="K3">vlookup(D3, {Armor!C:C,Armor!D:D}, 2, 0)</f>
        <v>1</v>
      </c>
      <c r="L3" s="33" t="str">
        <f t="array" ref="L3">vlookup(D3, {Costs!B:B,Costs!C:C}, 2, 0)</f>
        <v>N/A</v>
      </c>
      <c r="M3" s="36" t="str">
        <f t="array" ref="M3">vlookup(D3, {Armor!C:C,Armor!E:E}, 2, 0)</f>
        <v>N/A</v>
      </c>
      <c r="N3" s="33" t="str">
        <f t="array" ref="N3">vlookup(D3, {Costs!B:B,Costs!D:D}, 2, 0)</f>
        <v>N/A</v>
      </c>
      <c r="O3" s="36" t="str">
        <f t="array" ref="O3">vlookup(D3, {Armor!C:C,Armor!F:F}, 2, 0)</f>
        <v>N/A</v>
      </c>
      <c r="P3" s="33" t="str">
        <f t="array" ref="P3">vlookup(D3, {Costs!B:B,Costs!E:E}, 2, 0)</f>
        <v>N/A</v>
      </c>
      <c r="Q3" s="36" t="str">
        <f t="array" ref="Q3">vlookup(D3, {Armor!C:C,Armor!G:G}, 2, 0)</f>
        <v>N/A</v>
      </c>
      <c r="R3" s="33" t="str">
        <f t="array" ref="R3">vlookup(D3, {Costs!B:B,Costs!F:F}, 2, 0)</f>
        <v>N/A</v>
      </c>
      <c r="S3" s="32" t="str">
        <f t="array" ref="S3">vlookup(D3, {Armor!C:C,Armor!H:H}, 2, 0)</f>
        <v>N/A</v>
      </c>
    </row>
    <row r="4" ht="60.0" customHeight="1">
      <c r="A4" s="25">
        <v>3.0</v>
      </c>
      <c r="B4" s="25" t="s">
        <v>55</v>
      </c>
      <c r="C4" s="25" t="s">
        <v>56</v>
      </c>
      <c r="D4" s="26" t="s">
        <v>58</v>
      </c>
      <c r="E4" s="27" t="str">
        <f t="array" ref="E4">vlookup(D4, {Armor!C:C,Armor!A:A}, 2, 0)</f>
        <v/>
      </c>
      <c r="F4" s="28"/>
      <c r="G4" s="27" t="s">
        <v>55</v>
      </c>
      <c r="H4" s="27" t="s">
        <v>55</v>
      </c>
      <c r="I4" s="27" t="s">
        <v>55</v>
      </c>
      <c r="J4" s="27" t="s">
        <v>55</v>
      </c>
      <c r="K4" s="29">
        <f t="array" ref="K4">vlookup(D4, {Armor!C:C,Armor!D:D}, 2, 0)</f>
        <v>2</v>
      </c>
      <c r="L4" s="27" t="str">
        <f t="array" ref="L4">vlookup(D4, {Costs!B:B,Costs!C:C}, 2, 0)</f>
        <v>N/A</v>
      </c>
      <c r="M4" s="30" t="str">
        <f t="array" ref="M4">vlookup(D4, {Armor!C:C,Armor!E:E}, 2, 0)</f>
        <v>N/A</v>
      </c>
      <c r="N4" s="27" t="str">
        <f t="array" ref="N4">vlookup(D4, {Costs!B:B,Costs!D:D}, 2, 0)</f>
        <v>N/A</v>
      </c>
      <c r="O4" s="30" t="str">
        <f t="array" ref="O4">vlookup(D4, {Armor!C:C,Armor!F:F}, 2, 0)</f>
        <v>N/A</v>
      </c>
      <c r="P4" s="27" t="str">
        <f t="array" ref="P4">vlookup(D4, {Costs!B:B,Costs!E:E}, 2, 0)</f>
        <v>N/A</v>
      </c>
      <c r="Q4" s="30" t="str">
        <f t="array" ref="Q4">vlookup(D4, {Armor!C:C,Armor!G:G}, 2, 0)</f>
        <v>N/A</v>
      </c>
      <c r="R4" s="27" t="str">
        <f t="array" ref="R4">vlookup(D4, {Costs!B:B,Costs!F:F}, 2, 0)</f>
        <v>N/A</v>
      </c>
      <c r="S4" s="26" t="str">
        <f t="array" ref="S4">vlookup(D4, {Armor!C:C,Armor!H:H}, 2, 0)</f>
        <v>N/A</v>
      </c>
    </row>
    <row r="5" ht="60.0" customHeight="1">
      <c r="A5" s="31">
        <v>4.0</v>
      </c>
      <c r="B5" s="31" t="s">
        <v>59</v>
      </c>
      <c r="C5" s="31" t="s">
        <v>60</v>
      </c>
      <c r="D5" s="32" t="s">
        <v>61</v>
      </c>
      <c r="E5" s="33" t="str">
        <f t="array" ref="E5">vlookup(D5, {Armor!C:C,Armor!A:A}, 2, 0)</f>
        <v/>
      </c>
      <c r="F5" s="34"/>
      <c r="G5" s="33"/>
      <c r="H5" s="33"/>
      <c r="I5" s="33"/>
      <c r="J5" s="33"/>
      <c r="K5" s="35">
        <f t="array" ref="K5">vlookup(D5, {Armor!C:C,Armor!D:D}, 2, 0)</f>
        <v>3</v>
      </c>
      <c r="L5" s="33" t="str">
        <f t="array" ref="L5">vlookup(D5, {Costs!B:B,Costs!C:C}, 2, 0)</f>
        <v>5 Bokoblin Horn</v>
      </c>
      <c r="M5" s="36">
        <f t="array" ref="M5">vlookup(D5, {Armor!C:C,Armor!E:E}, 2, 0)</f>
        <v>5</v>
      </c>
      <c r="N5" s="33" t="str">
        <f t="array" ref="N5">vlookup(D5, {Costs!B:B,Costs!D:D}, 2, 0)</f>
        <v>5 Blue Bokoblin Horn
3 Bokoblin Fang</v>
      </c>
      <c r="O5" s="36">
        <f t="array" ref="O5">vlookup(D5, {Armor!C:C,Armor!F:F}, 2, 0)</f>
        <v>8</v>
      </c>
      <c r="P5" s="33" t="str">
        <f t="array" ref="P5">vlookup(D5, {Costs!B:B,Costs!E:E}, 2, 0)</f>
        <v>5 Black Bokoblin Horn
3 Bokoblin Guts
20 Amber</v>
      </c>
      <c r="Q5" s="36">
        <f t="array" ref="Q5">vlookup(D5, {Armor!C:C,Armor!G:G}, 2, 0)</f>
        <v>12</v>
      </c>
      <c r="R5" s="33" t="str">
        <f t="array" ref="R5">vlookup(D5, {Costs!B:B,Costs!F:F}, 2, 0)</f>
        <v>5 Silver Bokoblin Horn
5 Bokoblin Guts
30 Amber</v>
      </c>
      <c r="S5" s="32">
        <f t="array" ref="S5">vlookup(D5, {Armor!C:C,Armor!H:H}, 2, 0)</f>
        <v>20</v>
      </c>
    </row>
    <row r="6" ht="60.0" customHeight="1">
      <c r="A6" s="37">
        <v>5.0</v>
      </c>
      <c r="B6" s="25" t="s">
        <v>59</v>
      </c>
      <c r="C6" s="25" t="s">
        <v>60</v>
      </c>
      <c r="D6" s="38" t="s">
        <v>62</v>
      </c>
      <c r="E6" s="27" t="str">
        <f t="array" ref="E6">vlookup(D6, {Armor!C:C,Armor!A:A}, 2, 0)</f>
        <v/>
      </c>
      <c r="F6" s="28"/>
      <c r="G6" s="27"/>
      <c r="H6" s="27"/>
      <c r="I6" s="27"/>
      <c r="J6" s="27"/>
      <c r="K6" s="29">
        <f t="array" ref="K6">vlookup(D6, {Armor!C:C,Armor!D:D}, 2, 0)</f>
        <v>3</v>
      </c>
      <c r="L6" s="27" t="str">
        <f t="array" ref="L6">vlookup(D6, {Costs!B:B,Costs!C:C}, 2, 0)</f>
        <v>5 Bokoblin Horn</v>
      </c>
      <c r="M6" s="30">
        <f t="array" ref="M6">vlookup(D6, {Armor!C:C,Armor!E:E}, 2, 0)</f>
        <v>5</v>
      </c>
      <c r="N6" s="27" t="str">
        <f t="array" ref="N6">vlookup(D6, {Costs!B:B,Costs!D:D}, 2, 0)</f>
        <v>5 Blue Bokoblin Horn
3 Bokoblin Fang</v>
      </c>
      <c r="O6" s="30">
        <f t="array" ref="O6">vlookup(D6, {Armor!C:C,Armor!F:F}, 2, 0)</f>
        <v>8</v>
      </c>
      <c r="P6" s="27" t="str">
        <f t="array" ref="P6">vlookup(D6, {Costs!B:B,Costs!E:E}, 2, 0)</f>
        <v>5 Black Bokoblin Horn
3 Bokoblin Guts
20 Amber</v>
      </c>
      <c r="Q6" s="30">
        <f t="array" ref="Q6">vlookup(D6, {Armor!C:C,Armor!G:G}, 2, 0)</f>
        <v>12</v>
      </c>
      <c r="R6" s="27" t="str">
        <f t="array" ref="R6">vlookup(D6, {Costs!B:B,Costs!F:F}, 2, 0)</f>
        <v>5 Silver Bokoblin Horn
5 Bokoblin Guts
30 Amber</v>
      </c>
      <c r="S6" s="26">
        <f t="array" ref="S6">vlookup(D6, {Armor!C:C,Armor!H:H}, 2, 0)</f>
        <v>20</v>
      </c>
    </row>
    <row r="7" ht="60.0" customHeight="1">
      <c r="A7" s="31">
        <v>6.0</v>
      </c>
      <c r="B7" s="31" t="s">
        <v>59</v>
      </c>
      <c r="C7" s="31" t="s">
        <v>53</v>
      </c>
      <c r="D7" s="32" t="s">
        <v>63</v>
      </c>
      <c r="E7" s="33" t="str">
        <f t="array" ref="E7">vlookup(D7, {Armor!C:C,Armor!A:A}, 2, 0)</f>
        <v/>
      </c>
      <c r="F7" s="34"/>
      <c r="G7" s="33"/>
      <c r="H7" s="34"/>
      <c r="I7" s="33"/>
      <c r="J7" s="33"/>
      <c r="K7" s="35">
        <f t="array" ref="K7">vlookup(D7, {Armor!C:C,Armor!D:D}, 2, 0)</f>
        <v>3</v>
      </c>
      <c r="L7" s="33" t="str">
        <f t="array" ref="L7">vlookup(D7, {Costs!B:B,Costs!C:C}, 2, 0)</f>
        <v>5 Bokoblin Horn</v>
      </c>
      <c r="M7" s="36">
        <f t="array" ref="M7">vlookup(D7, {Armor!C:C,Armor!E:E}, 2, 0)</f>
        <v>5</v>
      </c>
      <c r="N7" s="33" t="str">
        <f t="array" ref="N7">vlookup(D7, {Costs!B:B,Costs!D:D}, 2, 0)</f>
        <v>5 Blue Bokoblin Horn
3 Bokoblin Fang</v>
      </c>
      <c r="O7" s="36">
        <f t="array" ref="O7">vlookup(D7, {Armor!C:C,Armor!F:F}, 2, 0)</f>
        <v>8</v>
      </c>
      <c r="P7" s="33" t="str">
        <f t="array" ref="P7">vlookup(D7, {Costs!B:B,Costs!E:E}, 2, 0)</f>
        <v>5 Black Bokoblin Horn
3 Bokoblin Guts
20 Amber</v>
      </c>
      <c r="Q7" s="36">
        <f t="array" ref="Q7">vlookup(D7, {Armor!C:C,Armor!G:G}, 2, 0)</f>
        <v>12</v>
      </c>
      <c r="R7" s="33" t="str">
        <f t="array" ref="R7">vlookup(D7, {Costs!B:B,Costs!F:F}, 2, 0)</f>
        <v>5 Silver Bokoblin Horn
5 Bokoblin Guts
30 Amber</v>
      </c>
      <c r="S7" s="32">
        <f t="array" ref="S7">vlookup(D7, {Armor!C:C,Armor!H:H}, 2, 0)</f>
        <v>20</v>
      </c>
    </row>
    <row r="8" ht="60.0" customHeight="1">
      <c r="A8" s="25">
        <v>7.0</v>
      </c>
      <c r="B8" s="25" t="s">
        <v>59</v>
      </c>
      <c r="C8" s="25" t="s">
        <v>56</v>
      </c>
      <c r="D8" s="26" t="s">
        <v>64</v>
      </c>
      <c r="E8" s="27" t="str">
        <f t="array" ref="E8">vlookup(D8, {Armor!C:C,Armor!A:A}, 2, 0)</f>
        <v/>
      </c>
      <c r="F8" s="28"/>
      <c r="G8" s="27"/>
      <c r="H8" s="27"/>
      <c r="I8" s="27"/>
      <c r="J8" s="27"/>
      <c r="K8" s="29">
        <f t="array" ref="K8">vlookup(D8, {Armor!C:C,Armor!D:D}, 2, 0)</f>
        <v>3</v>
      </c>
      <c r="L8" s="27" t="str">
        <f t="array" ref="L8">vlookup(D8, {Costs!B:B,Costs!C:C}, 2, 0)</f>
        <v>5 Bokoblin Horn</v>
      </c>
      <c r="M8" s="30">
        <f t="array" ref="M8">vlookup(D8, {Armor!C:C,Armor!E:E}, 2, 0)</f>
        <v>5</v>
      </c>
      <c r="N8" s="27" t="str">
        <f t="array" ref="N8">vlookup(D8, {Costs!B:B,Costs!D:D}, 2, 0)</f>
        <v>5 Blue Bokoblin Horn
3 Bokoblin Fang</v>
      </c>
      <c r="O8" s="30">
        <f t="array" ref="O8">vlookup(D8, {Armor!C:C,Armor!F:F}, 2, 0)</f>
        <v>8</v>
      </c>
      <c r="P8" s="27" t="str">
        <f t="array" ref="P8">vlookup(D8, {Costs!B:B,Costs!E:E}, 2, 0)</f>
        <v>5 Black Bokoblin Horn
3 Bokoblin Guts
20 Amber</v>
      </c>
      <c r="Q8" s="30">
        <f t="array" ref="Q8">vlookup(D8, {Armor!C:C,Armor!G:G}, 2, 0)</f>
        <v>12</v>
      </c>
      <c r="R8" s="27" t="str">
        <f t="array" ref="R8">vlookup(D8, {Costs!B:B,Costs!F:F}, 2, 0)</f>
        <v>5 Silver Bokoblin Horn
5 Bokoblin Guts
30 Amber</v>
      </c>
      <c r="S8" s="26">
        <f t="array" ref="S8">vlookup(D8, {Armor!C:C,Armor!H:H}, 2, 0)</f>
        <v>20</v>
      </c>
    </row>
    <row r="9" ht="60.0" customHeight="1">
      <c r="A9" s="31">
        <v>8.0</v>
      </c>
      <c r="B9" s="31" t="s">
        <v>65</v>
      </c>
      <c r="C9" s="31" t="s">
        <v>60</v>
      </c>
      <c r="D9" s="32" t="s">
        <v>66</v>
      </c>
      <c r="E9" s="33" t="str">
        <f t="array" ref="E9">vlookup(D9, {Armor!C:C,Armor!A:A}, 2, 0)</f>
        <v/>
      </c>
      <c r="F9" s="33"/>
      <c r="G9" s="33"/>
      <c r="H9" s="33"/>
      <c r="I9" s="34"/>
      <c r="J9" s="33"/>
      <c r="K9" s="35">
        <f t="array" ref="K9">vlookup(D9, {Armor!C:C,Armor!D:D}, 2, 0)</f>
        <v>4</v>
      </c>
      <c r="L9" s="33" t="str">
        <f t="array" ref="L9">vlookup(D9, {Costs!B:B,Costs!C:C}, 2, 0)</f>
        <v>5 Chuchu Jelly
3 Bokoblin Guts</v>
      </c>
      <c r="M9" s="36">
        <f t="array" ref="M9">vlookup(D9, {Armor!C:C,Armor!E:E}, 2, 0)</f>
        <v>7</v>
      </c>
      <c r="N9" s="33" t="str">
        <f t="array" ref="N9">vlookup(D9, {Costs!B:B,Costs!D:D}, 2, 0)</f>
        <v>5 Keese Eyeball
3 Moblin Guts</v>
      </c>
      <c r="O9" s="36">
        <f t="array" ref="O9">vlookup(D9, {Armor!C:C,Armor!F:F}, 2, 0)</f>
        <v>12</v>
      </c>
      <c r="P9" s="33" t="str">
        <f t="array" ref="P9">vlookup(D9, {Costs!B:B,Costs!E:E}, 2, 0)</f>
        <v>3 Lizalfos Tail
3 Hinox Guts
30 Flint</v>
      </c>
      <c r="Q9" s="36">
        <f t="array" ref="Q9">vlookup(D9, {Armor!C:C,Armor!G:G}, 2, 0)</f>
        <v>18</v>
      </c>
      <c r="R9" s="33" t="str">
        <f t="array" ref="R9">vlookup(D9, {Costs!B:B,Costs!F:F}, 2, 0)</f>
        <v>5 Lynel Hoof
5 Lynel Guts
30 Amber</v>
      </c>
      <c r="S9" s="32">
        <f t="array" ref="S9">vlookup(D9, {Armor!C:C,Armor!H:H}, 2, 0)</f>
        <v>28</v>
      </c>
    </row>
    <row r="10" ht="60.0" customHeight="1">
      <c r="A10" s="25">
        <v>9.0</v>
      </c>
      <c r="B10" s="25" t="s">
        <v>65</v>
      </c>
      <c r="C10" s="25" t="s">
        <v>53</v>
      </c>
      <c r="D10" s="26" t="s">
        <v>67</v>
      </c>
      <c r="E10" s="27" t="str">
        <f t="array" ref="E10">vlookup(D10, {Armor!C:C,Armor!A:A}, 2, 0)</f>
        <v/>
      </c>
      <c r="F10" s="27"/>
      <c r="G10" s="28"/>
      <c r="H10" s="27"/>
      <c r="I10" s="27"/>
      <c r="J10" s="27"/>
      <c r="K10" s="29">
        <f t="array" ref="K10">vlookup(D10, {Armor!C:C,Armor!D:D}, 2, 0)</f>
        <v>4</v>
      </c>
      <c r="L10" s="27" t="str">
        <f t="array" ref="L10">vlookup(D10, {Costs!B:B,Costs!C:C}, 2, 0)</f>
        <v>5 Chuchu Jelly
3 Bokoblin Guts</v>
      </c>
      <c r="M10" s="30">
        <f t="array" ref="M10">vlookup(D10, {Armor!C:C,Armor!E:E}, 2, 0)</f>
        <v>7</v>
      </c>
      <c r="N10" s="27" t="str">
        <f t="array" ref="N10">vlookup(D10, {Costs!B:B,Costs!D:D}, 2, 0)</f>
        <v>5 Keese Eyeball
3 Moblin Guts</v>
      </c>
      <c r="O10" s="30">
        <f t="array" ref="O10">vlookup(D10, {Armor!C:C,Armor!F:F}, 2, 0)</f>
        <v>12</v>
      </c>
      <c r="P10" s="27" t="str">
        <f t="array" ref="P10">vlookup(D10, {Costs!B:B,Costs!E:E}, 2, 0)</f>
        <v>3 Lizalfos Tail
3 Hinox Guts
30 Flint</v>
      </c>
      <c r="Q10" s="30">
        <f t="array" ref="Q10">vlookup(D10, {Armor!C:C,Armor!G:G}, 2, 0)</f>
        <v>18</v>
      </c>
      <c r="R10" s="27" t="str">
        <f t="array" ref="R10">vlookup(D10, {Costs!B:B,Costs!F:F}, 2, 0)</f>
        <v>5 Lynel Hoof
5 Lynel Guts
30 Amber</v>
      </c>
      <c r="S10" s="26">
        <f t="array" ref="S10">vlookup(D10, {Armor!C:C,Armor!H:H}, 2, 0)</f>
        <v>28</v>
      </c>
    </row>
    <row r="11" ht="60.0" customHeight="1">
      <c r="A11" s="31">
        <v>10.0</v>
      </c>
      <c r="B11" s="31" t="s">
        <v>65</v>
      </c>
      <c r="C11" s="31" t="s">
        <v>56</v>
      </c>
      <c r="D11" s="32" t="s">
        <v>68</v>
      </c>
      <c r="E11" s="33" t="str">
        <f t="array" ref="E11">vlookup(D11, {Armor!C:C,Armor!A:A}, 2, 0)</f>
        <v/>
      </c>
      <c r="F11" s="33"/>
      <c r="G11" s="33"/>
      <c r="H11" s="33"/>
      <c r="I11" s="33"/>
      <c r="J11" s="33"/>
      <c r="K11" s="35">
        <f t="array" ref="K11">vlookup(D11, {Armor!C:C,Armor!D:D}, 2, 0)</f>
        <v>4</v>
      </c>
      <c r="L11" s="33" t="str">
        <f t="array" ref="L11">vlookup(D11, {Costs!B:B,Costs!C:C}, 2, 0)</f>
        <v>5 Chuchu Jelly
3 Bokoblin Guts</v>
      </c>
      <c r="M11" s="36">
        <f t="array" ref="M11">vlookup(D11, {Armor!C:C,Armor!E:E}, 2, 0)</f>
        <v>7</v>
      </c>
      <c r="N11" s="33" t="str">
        <f t="array" ref="N11">vlookup(D11, {Costs!B:B,Costs!D:D}, 2, 0)</f>
        <v>5 Keese Eyeball
3 Moblin Guts</v>
      </c>
      <c r="O11" s="36">
        <f t="array" ref="O11">vlookup(D11, {Armor!C:C,Armor!F:F}, 2, 0)</f>
        <v>12</v>
      </c>
      <c r="P11" s="33" t="str">
        <f t="array" ref="P11">vlookup(D11, {Costs!B:B,Costs!E:E}, 2, 0)</f>
        <v>3 Lizalfos Tail
3 Hinox Guts
30 Flint</v>
      </c>
      <c r="Q11" s="36">
        <f t="array" ref="Q11">vlookup(D11, {Armor!C:C,Armor!G:G}, 2, 0)</f>
        <v>18</v>
      </c>
      <c r="R11" s="33" t="str">
        <f t="array" ref="R11">vlookup(D11, {Costs!B:B,Costs!F:F}, 2, 0)</f>
        <v>5 Lynel Hoof
5 Lynel Guts
30 Amber</v>
      </c>
      <c r="S11" s="32">
        <f t="array" ref="S11">vlookup(D11, {Armor!C:C,Armor!H:H}, 2, 0)</f>
        <v>28</v>
      </c>
    </row>
    <row r="12" ht="60.0" customHeight="1">
      <c r="A12" s="25">
        <v>11.0</v>
      </c>
      <c r="B12" s="25" t="s">
        <v>69</v>
      </c>
      <c r="C12" s="25" t="s">
        <v>60</v>
      </c>
      <c r="D12" s="26" t="s">
        <v>70</v>
      </c>
      <c r="E12" s="27" t="str">
        <f t="array" ref="E12">vlookup(D12, {Armor!C:C,Armor!A:A}, 2, 0)</f>
        <v/>
      </c>
      <c r="F12" s="27"/>
      <c r="G12" s="27"/>
      <c r="H12" s="27"/>
      <c r="I12" s="27"/>
      <c r="J12" s="27"/>
      <c r="K12" s="29">
        <f t="array" ref="K12">vlookup(D12, {Armor!C:C,Armor!D:D}, 2, 0)</f>
        <v>3</v>
      </c>
      <c r="L12" s="27" t="str">
        <f t="array" ref="L12">vlookup(D12, {Costs!B:B,Costs!C:C}, 2, 0)</f>
        <v>3 Red Chuchu Jelly</v>
      </c>
      <c r="M12" s="30">
        <f t="array" ref="M12">vlookup(D12, {Armor!C:C,Armor!E:E}, 2, 0)</f>
        <v>5</v>
      </c>
      <c r="N12" s="27" t="str">
        <f t="array" ref="N12">vlookup(D12, {Costs!B:B,Costs!D:D}, 2, 0)</f>
        <v>5 Red Chuchu Jelly
3 Warm Safflina</v>
      </c>
      <c r="O12" s="30">
        <f t="array" ref="O12">vlookup(D12, {Armor!C:C,Armor!F:F}, 2, 0)</f>
        <v>8</v>
      </c>
      <c r="P12" s="27" t="str">
        <f t="array" ref="P12">vlookup(D12, {Costs!B:B,Costs!E:E}, 2, 0)</f>
        <v>5 Fire Keese Wing
3 Fire-Breath Lizalfos Tail
5 Sunshroom</v>
      </c>
      <c r="Q12" s="30">
        <f t="array" ref="Q12">vlookup(D12, {Armor!C:C,Armor!G:G}, 2, 0)</f>
        <v>12</v>
      </c>
      <c r="R12" s="27" t="str">
        <f t="array" ref="R12">vlookup(D12, {Costs!B:B,Costs!F:F}, 2, 0)</f>
        <v>5 Fire-Breath Lizalfos Horn
10 Fire-Breath Lizalfos Tail
5 Ruby</v>
      </c>
      <c r="S12" s="26">
        <f t="array" ref="S12">vlookup(D12, {Armor!C:C,Armor!H:H}, 2, 0)</f>
        <v>20</v>
      </c>
    </row>
    <row r="13" ht="60.0" customHeight="1">
      <c r="A13" s="31">
        <v>12.0</v>
      </c>
      <c r="B13" s="31" t="s">
        <v>69</v>
      </c>
      <c r="C13" s="31" t="s">
        <v>53</v>
      </c>
      <c r="D13" s="32" t="s">
        <v>71</v>
      </c>
      <c r="E13" s="33" t="str">
        <f t="array" ref="E13">vlookup(D13, {Armor!C:C,Armor!A:A}, 2, 0)</f>
        <v/>
      </c>
      <c r="F13" s="33"/>
      <c r="G13" s="33"/>
      <c r="H13" s="33"/>
      <c r="I13" s="33"/>
      <c r="J13" s="33"/>
      <c r="K13" s="35">
        <f t="array" ref="K13">vlookup(D13, {Armor!C:C,Armor!D:D}, 2, 0)</f>
        <v>3</v>
      </c>
      <c r="L13" s="33" t="str">
        <f t="array" ref="L13">vlookup(D13, {Costs!B:B,Costs!C:C}, 2, 0)</f>
        <v>3 Red Chuchu Jelly</v>
      </c>
      <c r="M13" s="36">
        <f t="array" ref="M13">vlookup(D13, {Armor!C:C,Armor!E:E}, 2, 0)</f>
        <v>5</v>
      </c>
      <c r="N13" s="33" t="str">
        <f t="array" ref="N13">vlookup(D13, {Costs!B:B,Costs!D:D}, 2, 0)</f>
        <v>5 Red Chuchu Jelly
3 Warm Safflina</v>
      </c>
      <c r="O13" s="36">
        <f t="array" ref="O13">vlookup(D13, {Armor!C:C,Armor!F:F}, 2, 0)</f>
        <v>8</v>
      </c>
      <c r="P13" s="33" t="str">
        <f t="array" ref="P13">vlookup(D13, {Costs!B:B,Costs!E:E}, 2, 0)</f>
        <v>5 Fire Keese Wing
3 Fire-Breath Lizalfos Tail
5 Sunshroom</v>
      </c>
      <c r="Q13" s="36">
        <f t="array" ref="Q13">vlookup(D13, {Armor!C:C,Armor!G:G}, 2, 0)</f>
        <v>12</v>
      </c>
      <c r="R13" s="33" t="str">
        <f t="array" ref="R13">vlookup(D13, {Costs!B:B,Costs!F:F}, 2, 0)</f>
        <v>5 Fire-Breath Lizalfos Horn
10 Fire-Breath Lizalfos Tail
5 Ruby</v>
      </c>
      <c r="S13" s="32">
        <f t="array" ref="S13">vlookup(D13, {Armor!C:C,Armor!H:H}, 2, 0)</f>
        <v>20</v>
      </c>
    </row>
    <row r="14" ht="60.0" customHeight="1">
      <c r="A14" s="25">
        <v>13.0</v>
      </c>
      <c r="B14" s="25" t="s">
        <v>69</v>
      </c>
      <c r="C14" s="25" t="s">
        <v>56</v>
      </c>
      <c r="D14" s="26" t="s">
        <v>72</v>
      </c>
      <c r="E14" s="27" t="str">
        <f t="array" ref="E14">vlookup(D14, {Armor!C:C,Armor!A:A}, 2, 0)</f>
        <v/>
      </c>
      <c r="F14" s="27"/>
      <c r="G14" s="27"/>
      <c r="H14" s="27"/>
      <c r="I14" s="27"/>
      <c r="J14" s="27"/>
      <c r="K14" s="29">
        <f t="array" ref="K14">vlookup(D14, {Armor!C:C,Armor!D:D}, 2, 0)</f>
        <v>3</v>
      </c>
      <c r="L14" s="27" t="str">
        <f t="array" ref="L14">vlookup(D14, {Costs!B:B,Costs!C:C}, 2, 0)</f>
        <v>3 Red Chuchu Jelly</v>
      </c>
      <c r="M14" s="30">
        <f t="array" ref="M14">vlookup(D14, {Armor!C:C,Armor!E:E}, 2, 0)</f>
        <v>5</v>
      </c>
      <c r="N14" s="27" t="str">
        <f t="array" ref="N14">vlookup(D14, {Costs!B:B,Costs!D:D}, 2, 0)</f>
        <v>5 Red Chuchu Jelly
3 Warm Safflina</v>
      </c>
      <c r="O14" s="30">
        <f t="array" ref="O14">vlookup(D14, {Armor!C:C,Armor!F:F}, 2, 0)</f>
        <v>8</v>
      </c>
      <c r="P14" s="27" t="str">
        <f t="array" ref="P14">vlookup(D14, {Costs!B:B,Costs!E:E}, 2, 0)</f>
        <v>5 Fire Keese Wing
3 Fire-Breath Lizalfos Tail
5 Sunshroom</v>
      </c>
      <c r="Q14" s="30">
        <f t="array" ref="Q14">vlookup(D14, {Armor!C:C,Armor!G:G}, 2, 0)</f>
        <v>12</v>
      </c>
      <c r="R14" s="27" t="str">
        <f t="array" ref="R14">vlookup(D14, {Costs!B:B,Costs!F:F}, 2, 0)</f>
        <v>5 Fire-Breath Lizalfos Horn
10 Fire-Breath Lizalfos Tail
5 Ruby</v>
      </c>
      <c r="S14" s="26">
        <f t="array" ref="S14">vlookup(D14, {Armor!C:C,Armor!H:H}, 2, 0)</f>
        <v>20</v>
      </c>
    </row>
    <row r="15" ht="60.0" customHeight="1">
      <c r="A15" s="31">
        <v>14.0</v>
      </c>
      <c r="B15" s="31" t="s">
        <v>73</v>
      </c>
      <c r="C15" s="31" t="s">
        <v>60</v>
      </c>
      <c r="D15" s="32" t="s">
        <v>74</v>
      </c>
      <c r="E15" s="33" t="str">
        <f t="array" ref="E15">vlookup(D15, {Armor!C:C,Armor!A:A}, 2, 0)</f>
        <v/>
      </c>
      <c r="F15" s="33"/>
      <c r="G15" s="33"/>
      <c r="H15" s="33"/>
      <c r="I15" s="33"/>
      <c r="J15" s="33"/>
      <c r="K15" s="35">
        <f t="array" ref="K15">vlookup(D15, {Armor!C:C,Armor!D:D}, 2, 0)</f>
        <v>3</v>
      </c>
      <c r="L15" s="33" t="str">
        <f t="array" ref="L15">vlookup(D15, {Costs!B:B,Costs!C:C}, 2, 0)</f>
        <v>3 Moblin Horn</v>
      </c>
      <c r="M15" s="36">
        <f t="array" ref="M15">vlookup(D15, {Armor!C:C,Armor!E:E}, 2, 0)</f>
        <v>5</v>
      </c>
      <c r="N15" s="33" t="str">
        <f t="array" ref="N15">vlookup(D15, {Costs!B:B,Costs!D:D}, 2, 0)</f>
        <v>5 Moblin Fang
5 Fireproof Lizard</v>
      </c>
      <c r="O15" s="36">
        <f t="array" ref="O15">vlookup(D15, {Armor!C:C,Armor!F:F}, 2, 0)</f>
        <v>8</v>
      </c>
      <c r="P15" s="33" t="str">
        <f t="array" ref="P15">vlookup(D15, {Costs!B:B,Costs!E:E}, 2, 0)</f>
        <v>5 Blue Moblin Horn
3 Smotherwing Butterfly
15 Flint</v>
      </c>
      <c r="Q15" s="36">
        <f t="array" ref="Q15">vlookup(D15, {Armor!C:C,Armor!G:G}, 2, 0)</f>
        <v>12</v>
      </c>
      <c r="R15" s="33" t="str">
        <f t="array" ref="R15">vlookup(D15, {Costs!B:B,Costs!F:F}, 2, 0)</f>
        <v>5 Black Moblin Horn
5 Smotherwing Butterfly
30 Flint</v>
      </c>
      <c r="S15" s="32">
        <f t="array" ref="S15">vlookup(D15, {Armor!C:C,Armor!H:H}, 2, 0)</f>
        <v>20</v>
      </c>
    </row>
    <row r="16" ht="60.0" customHeight="1">
      <c r="A16" s="25">
        <v>15.0</v>
      </c>
      <c r="B16" s="25" t="s">
        <v>73</v>
      </c>
      <c r="C16" s="25" t="s">
        <v>53</v>
      </c>
      <c r="D16" s="26" t="s">
        <v>75</v>
      </c>
      <c r="E16" s="27" t="str">
        <f t="array" ref="E16">vlookup(D16, {Armor!C:C,Armor!A:A}, 2, 0)</f>
        <v/>
      </c>
      <c r="F16" s="27"/>
      <c r="G16" s="27"/>
      <c r="H16" s="27"/>
      <c r="I16" s="27"/>
      <c r="J16" s="27"/>
      <c r="K16" s="29">
        <f t="array" ref="K16">vlookup(D16, {Armor!C:C,Armor!D:D}, 2, 0)</f>
        <v>3</v>
      </c>
      <c r="L16" s="27" t="str">
        <f t="array" ref="L16">vlookup(D16, {Costs!B:B,Costs!C:C}, 2, 0)</f>
        <v>3 Moblin Horn</v>
      </c>
      <c r="M16" s="30">
        <f t="array" ref="M16">vlookup(D16, {Armor!C:C,Armor!E:E}, 2, 0)</f>
        <v>5</v>
      </c>
      <c r="N16" s="27" t="str">
        <f t="array" ref="N16">vlookup(D16, {Costs!B:B,Costs!D:D}, 2, 0)</f>
        <v>5 Moblin Fang
5 Fireproof Lizard</v>
      </c>
      <c r="O16" s="30">
        <f t="array" ref="O16">vlookup(D16, {Armor!C:C,Armor!F:F}, 2, 0)</f>
        <v>8</v>
      </c>
      <c r="P16" s="27" t="str">
        <f t="array" ref="P16">vlookup(D16, {Costs!B:B,Costs!E:E}, 2, 0)</f>
        <v>5 Blue Moblin Horn
3 Smotherwing Butterfly
15 Flint</v>
      </c>
      <c r="Q16" s="30">
        <f t="array" ref="Q16">vlookup(D16, {Armor!C:C,Armor!G:G}, 2, 0)</f>
        <v>12</v>
      </c>
      <c r="R16" s="27" t="str">
        <f t="array" ref="R16">vlookup(D16, {Costs!B:B,Costs!F:F}, 2, 0)</f>
        <v>5 Black Moblin Horn
5 Smotherwing Butterfly
30 Flint</v>
      </c>
      <c r="S16" s="26">
        <f t="array" ref="S16">vlookup(D16, {Armor!C:C,Armor!H:H}, 2, 0)</f>
        <v>20</v>
      </c>
    </row>
    <row r="17" ht="60.0" customHeight="1">
      <c r="A17" s="31">
        <v>16.0</v>
      </c>
      <c r="B17" s="31" t="s">
        <v>73</v>
      </c>
      <c r="C17" s="31" t="s">
        <v>56</v>
      </c>
      <c r="D17" s="32" t="s">
        <v>76</v>
      </c>
      <c r="E17" s="33" t="str">
        <f t="array" ref="E17">vlookup(D17, {Armor!C:C,Armor!A:A}, 2, 0)</f>
        <v/>
      </c>
      <c r="F17" s="33"/>
      <c r="G17" s="33"/>
      <c r="H17" s="33"/>
      <c r="I17" s="33"/>
      <c r="J17" s="33"/>
      <c r="K17" s="35">
        <f t="array" ref="K17">vlookup(D17, {Armor!C:C,Armor!D:D}, 2, 0)</f>
        <v>3</v>
      </c>
      <c r="L17" s="33" t="str">
        <f t="array" ref="L17">vlookup(D17, {Costs!B:B,Costs!C:C}, 2, 0)</f>
        <v>3 Moblin Horn</v>
      </c>
      <c r="M17" s="36">
        <f t="array" ref="M17">vlookup(D17, {Armor!C:C,Armor!E:E}, 2, 0)</f>
        <v>5</v>
      </c>
      <c r="N17" s="33" t="str">
        <f t="array" ref="N17">vlookup(D17, {Costs!B:B,Costs!D:D}, 2, 0)</f>
        <v>5 Moblin Fang
5 Fireproof Lizard</v>
      </c>
      <c r="O17" s="36">
        <f t="array" ref="O17">vlookup(D17, {Armor!C:C,Armor!F:F}, 2, 0)</f>
        <v>8</v>
      </c>
      <c r="P17" s="33" t="str">
        <f t="array" ref="P17">vlookup(D17, {Costs!B:B,Costs!E:E}, 2, 0)</f>
        <v>5 Blue Moblin Horn
3 Smotherwing Butterfly
15 Flint</v>
      </c>
      <c r="Q17" s="36">
        <f t="array" ref="Q17">vlookup(D17, {Armor!C:C,Armor!G:G}, 2, 0)</f>
        <v>12</v>
      </c>
      <c r="R17" s="33" t="str">
        <f t="array" ref="R17">vlookup(D17, {Costs!B:B,Costs!F:F}, 2, 0)</f>
        <v>5 Black Moblin Horn
5 Smotherwing Butterfly
30 Flint</v>
      </c>
      <c r="S17" s="32">
        <f t="array" ref="S17">vlookup(D17, {Armor!C:C,Armor!H:H}, 2, 0)</f>
        <v>20</v>
      </c>
    </row>
    <row r="18" ht="60.0" customHeight="1">
      <c r="A18" s="25">
        <v>17.0</v>
      </c>
      <c r="B18" s="25" t="s">
        <v>77</v>
      </c>
      <c r="C18" s="25" t="s">
        <v>60</v>
      </c>
      <c r="D18" s="26" t="s">
        <v>78</v>
      </c>
      <c r="E18" s="27" t="str">
        <f t="array" ref="E18">vlookup(D18, {Armor!C:C,Armor!A:A}, 2, 0)</f>
        <v/>
      </c>
      <c r="F18" s="27"/>
      <c r="G18" s="27"/>
      <c r="H18" s="27"/>
      <c r="I18" s="27"/>
      <c r="J18" s="27"/>
      <c r="K18" s="29">
        <f t="array" ref="K18">vlookup(D18, {Armor!C:C,Armor!D:D}, 2, 0)</f>
        <v>3</v>
      </c>
      <c r="L18" s="27" t="str">
        <f t="array" ref="L18">vlookup(D18, {Costs!B:B,Costs!C:C}, 2, 0)</f>
        <v>3 Lizalfos Horn</v>
      </c>
      <c r="M18" s="30">
        <f t="array" ref="M18">vlookup(D18, {Armor!C:C,Armor!E:E}, 2, 0)</f>
        <v>5</v>
      </c>
      <c r="N18" s="27" t="str">
        <f t="array" ref="N18">vlookup(D18, {Costs!B:B,Costs!D:D}, 2, 0)</f>
        <v>5 Lizalfos Talon
5 Hyrule Bass</v>
      </c>
      <c r="O18" s="30">
        <f t="array" ref="O18">vlookup(D18, {Armor!C:C,Armor!F:F}, 2, 0)</f>
        <v>8</v>
      </c>
      <c r="P18" s="27" t="str">
        <f t="array" ref="P18">vlookup(D18, {Costs!B:B,Costs!E:E}, 2, 0)</f>
        <v>5 Blue Lizalfos Horn
3 Lizalfos Tail
3 Hearty Bass</v>
      </c>
      <c r="Q18" s="30">
        <f t="array" ref="Q18">vlookup(D18, {Armor!C:C,Armor!G:G}, 2, 0)</f>
        <v>12</v>
      </c>
      <c r="R18" s="27" t="str">
        <f t="array" ref="R18">vlookup(D18, {Costs!B:B,Costs!F:F}, 2, 0)</f>
        <v>5 Black Lizalfos Horn
5 Blue Lizalfos Tail
20 Opal</v>
      </c>
      <c r="S18" s="26">
        <f t="array" ref="S18">vlookup(D18, {Armor!C:C,Armor!H:H}, 2, 0)</f>
        <v>20</v>
      </c>
    </row>
    <row r="19" ht="60.0" customHeight="1">
      <c r="A19" s="31">
        <v>18.0</v>
      </c>
      <c r="B19" s="31" t="s">
        <v>77</v>
      </c>
      <c r="C19" s="31" t="s">
        <v>53</v>
      </c>
      <c r="D19" s="32" t="s">
        <v>79</v>
      </c>
      <c r="E19" s="33" t="str">
        <f t="array" ref="E19">vlookup(D19, {Armor!C:C,Armor!A:A}, 2, 0)</f>
        <v/>
      </c>
      <c r="F19" s="33"/>
      <c r="G19" s="33"/>
      <c r="H19" s="33"/>
      <c r="I19" s="33"/>
      <c r="J19" s="33"/>
      <c r="K19" s="35">
        <f t="array" ref="K19">vlookup(D19, {Armor!C:C,Armor!D:D}, 2, 0)</f>
        <v>3</v>
      </c>
      <c r="L19" s="33" t="str">
        <f t="array" ref="L19">vlookup(D19, {Costs!B:B,Costs!C:C}, 2, 0)</f>
        <v>3 Lizalfos Horn</v>
      </c>
      <c r="M19" s="36">
        <f t="array" ref="M19">vlookup(D19, {Armor!C:C,Armor!E:E}, 2, 0)</f>
        <v>5</v>
      </c>
      <c r="N19" s="33" t="str">
        <f t="array" ref="N19">vlookup(D19, {Costs!B:B,Costs!D:D}, 2, 0)</f>
        <v>5 Lizalfos Talon
5 Hyrule Bass</v>
      </c>
      <c r="O19" s="36">
        <f t="array" ref="O19">vlookup(D19, {Armor!C:C,Armor!F:F}, 2, 0)</f>
        <v>8</v>
      </c>
      <c r="P19" s="33" t="str">
        <f t="array" ref="P19">vlookup(D19, {Costs!B:B,Costs!E:E}, 2, 0)</f>
        <v>5 Blue Lizalfos Horn
3 Lizalfos Tail
3 Hearty Bass</v>
      </c>
      <c r="Q19" s="36">
        <f t="array" ref="Q19">vlookup(D19, {Armor!C:C,Armor!G:G}, 2, 0)</f>
        <v>12</v>
      </c>
      <c r="R19" s="33" t="str">
        <f t="array" ref="R19">vlookup(D19, {Costs!B:B,Costs!F:F}, 2, 0)</f>
        <v>5 Black Lizalfos Horn
5 Blue Lizalfos Tail
20 Opal</v>
      </c>
      <c r="S19" s="32">
        <f t="array" ref="S19">vlookup(D19, {Armor!C:C,Armor!H:H}, 2, 0)</f>
        <v>20</v>
      </c>
    </row>
    <row r="20" ht="60.0" customHeight="1">
      <c r="A20" s="25">
        <v>19.0</v>
      </c>
      <c r="B20" s="25" t="s">
        <v>77</v>
      </c>
      <c r="C20" s="25" t="s">
        <v>56</v>
      </c>
      <c r="D20" s="26" t="s">
        <v>80</v>
      </c>
      <c r="E20" s="27" t="str">
        <f t="array" ref="E20">vlookup(D20, {Armor!C:C,Armor!A:A}, 2, 0)</f>
        <v/>
      </c>
      <c r="F20" s="27"/>
      <c r="G20" s="27"/>
      <c r="H20" s="27"/>
      <c r="I20" s="27"/>
      <c r="J20" s="27"/>
      <c r="K20" s="29">
        <f t="array" ref="K20">vlookup(D20, {Armor!C:C,Armor!D:D}, 2, 0)</f>
        <v>3</v>
      </c>
      <c r="L20" s="27" t="str">
        <f t="array" ref="L20">vlookup(D20, {Costs!B:B,Costs!C:C}, 2, 0)</f>
        <v>3 Lizalfos Horn</v>
      </c>
      <c r="M20" s="30">
        <f t="array" ref="M20">vlookup(D20, {Armor!C:C,Armor!E:E}, 2, 0)</f>
        <v>5</v>
      </c>
      <c r="N20" s="27" t="str">
        <f t="array" ref="N20">vlookup(D20, {Costs!B:B,Costs!D:D}, 2, 0)</f>
        <v>5 Lizalfos Talon
5 Hyrule Bass</v>
      </c>
      <c r="O20" s="30">
        <f t="array" ref="O20">vlookup(D20, {Armor!C:C,Armor!F:F}, 2, 0)</f>
        <v>8</v>
      </c>
      <c r="P20" s="27" t="str">
        <f t="array" ref="P20">vlookup(D20, {Costs!B:B,Costs!E:E}, 2, 0)</f>
        <v>5 Blue Lizalfos Horn
3 Lizalfos Tail
3 Hearty Bass</v>
      </c>
      <c r="Q20" s="30">
        <f t="array" ref="Q20">vlookup(D20, {Armor!C:C,Armor!G:G}, 2, 0)</f>
        <v>12</v>
      </c>
      <c r="R20" s="27" t="str">
        <f t="array" ref="R20">vlookup(D20, {Costs!B:B,Costs!F:F}, 2, 0)</f>
        <v>5 Black Lizalfos Horn
5 Blue Lizalfos Tail
20 Opal</v>
      </c>
      <c r="S20" s="26">
        <f t="array" ref="S20">vlookup(D20, {Armor!C:C,Armor!H:H}, 2, 0)</f>
        <v>20</v>
      </c>
    </row>
    <row r="21" ht="60.0" customHeight="1">
      <c r="A21" s="31">
        <v>20.0</v>
      </c>
      <c r="B21" s="31" t="s">
        <v>81</v>
      </c>
      <c r="C21" s="31" t="s">
        <v>60</v>
      </c>
      <c r="D21" s="32" t="s">
        <v>82</v>
      </c>
      <c r="E21" s="33" t="str">
        <f t="array" ref="E21">vlookup(D21, {Armor!C:C,Armor!A:A}, 2, 0)</f>
        <v/>
      </c>
      <c r="F21" s="33"/>
      <c r="G21" s="33"/>
      <c r="H21" s="33"/>
      <c r="I21" s="33"/>
      <c r="J21" s="33"/>
      <c r="K21" s="35">
        <f t="array" ref="K21">vlookup(D21, {Armor!C:C,Armor!D:D}, 2, 0)</f>
        <v>3</v>
      </c>
      <c r="L21" s="33" t="str">
        <f t="array" ref="L21">vlookup(D21, {Costs!B:B,Costs!C:C}, 2, 0)</f>
        <v>3 White Chuchu Jelly</v>
      </c>
      <c r="M21" s="36">
        <f t="array" ref="M21">vlookup(D21, {Armor!C:C,Armor!E:E}, 2, 0)</f>
        <v>5</v>
      </c>
      <c r="N21" s="33" t="str">
        <f t="array" ref="N21">vlookup(D21, {Costs!B:B,Costs!D:D}, 2, 0)</f>
        <v>5 White Chuchu Jelly
3 Cool Safflina</v>
      </c>
      <c r="O21" s="36">
        <f t="array" ref="O21">vlookup(D21, {Armor!C:C,Armor!F:F}, 2, 0)</f>
        <v>8</v>
      </c>
      <c r="P21" s="33" t="str">
        <f t="array" ref="P21">vlookup(D21, {Costs!B:B,Costs!E:E}, 2, 0)</f>
        <v>5 Ice Keese Wing
3 Ice-Breath Lizalfos Tail
5 Chillshroom</v>
      </c>
      <c r="Q21" s="36">
        <f t="array" ref="Q21">vlookup(D21, {Armor!C:C,Armor!G:G}, 2, 0)</f>
        <v>12</v>
      </c>
      <c r="R21" s="33" t="str">
        <f t="array" ref="R21">vlookup(D21, {Costs!B:B,Costs!F:F}, 2, 0)</f>
        <v>5 Ice-Breath Lizalfos Horn
10 Ice-Breath Lizalfos Tail
5 Sapphire</v>
      </c>
      <c r="S21" s="32">
        <f t="array" ref="S21">vlookup(D21, {Armor!C:C,Armor!H:H}, 2, 0)</f>
        <v>20</v>
      </c>
    </row>
    <row r="22" ht="60.0" customHeight="1">
      <c r="A22" s="25">
        <v>21.0</v>
      </c>
      <c r="B22" s="25" t="s">
        <v>81</v>
      </c>
      <c r="C22" s="25" t="s">
        <v>53</v>
      </c>
      <c r="D22" s="26" t="s">
        <v>83</v>
      </c>
      <c r="E22" s="27" t="str">
        <f t="array" ref="E22">vlookup(D22, {Armor!C:C,Armor!A:A}, 2, 0)</f>
        <v/>
      </c>
      <c r="F22" s="27"/>
      <c r="G22" s="27"/>
      <c r="H22" s="27"/>
      <c r="I22" s="27"/>
      <c r="J22" s="27"/>
      <c r="K22" s="29">
        <f t="array" ref="K22">vlookup(D22, {Armor!C:C,Armor!D:D}, 2, 0)</f>
        <v>3</v>
      </c>
      <c r="L22" s="27" t="str">
        <f t="array" ref="L22">vlookup(D22, {Costs!B:B,Costs!C:C}, 2, 0)</f>
        <v>3 White Chuchu Jelly</v>
      </c>
      <c r="M22" s="30">
        <f t="array" ref="M22">vlookup(D22, {Armor!C:C,Armor!E:E}, 2, 0)</f>
        <v>5</v>
      </c>
      <c r="N22" s="27" t="str">
        <f t="array" ref="N22">vlookup(D22, {Costs!B:B,Costs!D:D}, 2, 0)</f>
        <v>5 White Chuchu Jelly
3 Cool Safflina</v>
      </c>
      <c r="O22" s="30">
        <f t="array" ref="O22">vlookup(D22, {Armor!C:C,Armor!F:F}, 2, 0)</f>
        <v>8</v>
      </c>
      <c r="P22" s="27" t="str">
        <f t="array" ref="P22">vlookup(D22, {Costs!B:B,Costs!E:E}, 2, 0)</f>
        <v>5 Ice Keese Wing
3 Ice-Breath Lizalfos Tail
5 Chillshroom</v>
      </c>
      <c r="Q22" s="30">
        <f t="array" ref="Q22">vlookup(D22, {Armor!C:C,Armor!G:G}, 2, 0)</f>
        <v>12</v>
      </c>
      <c r="R22" s="27" t="str">
        <f t="array" ref="R22">vlookup(D22, {Costs!B:B,Costs!F:F}, 2, 0)</f>
        <v>5 Ice-Breath Lizalfos Horn
10 Ice-Breath Lizalfos Tail
5 Sapphire</v>
      </c>
      <c r="S22" s="26">
        <f t="array" ref="S22">vlookup(D22, {Armor!C:C,Armor!H:H}, 2, 0)</f>
        <v>20</v>
      </c>
    </row>
    <row r="23" ht="60.0" customHeight="1">
      <c r="A23" s="31">
        <v>22.0</v>
      </c>
      <c r="B23" s="31" t="s">
        <v>81</v>
      </c>
      <c r="C23" s="31" t="s">
        <v>56</v>
      </c>
      <c r="D23" s="32" t="s">
        <v>84</v>
      </c>
      <c r="E23" s="33" t="str">
        <f t="array" ref="E23">vlookup(D23, {Armor!C:C,Armor!A:A}, 2, 0)</f>
        <v/>
      </c>
      <c r="F23" s="33"/>
      <c r="G23" s="33"/>
      <c r="H23" s="33"/>
      <c r="I23" s="33"/>
      <c r="J23" s="33"/>
      <c r="K23" s="35">
        <f t="array" ref="K23">vlookup(D23, {Armor!C:C,Armor!D:D}, 2, 0)</f>
        <v>3</v>
      </c>
      <c r="L23" s="33" t="str">
        <f t="array" ref="L23">vlookup(D23, {Costs!B:B,Costs!C:C}, 2, 0)</f>
        <v>3 White Chuchu Jelly</v>
      </c>
      <c r="M23" s="36">
        <f t="array" ref="M23">vlookup(D23, {Armor!C:C,Armor!E:E}, 2, 0)</f>
        <v>5</v>
      </c>
      <c r="N23" s="33" t="str">
        <f t="array" ref="N23">vlookup(D23, {Costs!B:B,Costs!D:D}, 2, 0)</f>
        <v>5 White Chuchu Jelly
3 Cool Safflina</v>
      </c>
      <c r="O23" s="36">
        <f t="array" ref="O23">vlookup(D23, {Armor!C:C,Armor!F:F}, 2, 0)</f>
        <v>8</v>
      </c>
      <c r="P23" s="33" t="str">
        <f t="array" ref="P23">vlookup(D23, {Costs!B:B,Costs!E:E}, 2, 0)</f>
        <v>5 Ice Keese Wing
3 Ice-Breath Lizalfos Tail
5 Chillshroom</v>
      </c>
      <c r="Q23" s="36">
        <f t="array" ref="Q23">vlookup(D23, {Armor!C:C,Armor!G:G}, 2, 0)</f>
        <v>12</v>
      </c>
      <c r="R23" s="33" t="str">
        <f t="array" ref="R23">vlookup(D23, {Costs!B:B,Costs!F:F}, 2, 0)</f>
        <v>5 Ice-Breath Lizalfos Horn
10 Ice-Breath Lizalfos Tail
5 Sapphire</v>
      </c>
      <c r="S23" s="32">
        <f t="array" ref="S23">vlookup(D23, {Armor!C:C,Armor!H:H}, 2, 0)</f>
        <v>20</v>
      </c>
    </row>
    <row r="24" ht="60.0" customHeight="1">
      <c r="A24" s="25">
        <v>23.0</v>
      </c>
      <c r="B24" s="25" t="s">
        <v>85</v>
      </c>
      <c r="C24" s="25" t="s">
        <v>60</v>
      </c>
      <c r="D24" s="26" t="s">
        <v>86</v>
      </c>
      <c r="E24" s="27" t="str">
        <f t="array" ref="E24">vlookup(D24, {Armor!C:C,Armor!A:A}, 2, 0)</f>
        <v/>
      </c>
      <c r="F24" s="27"/>
      <c r="G24" s="27"/>
      <c r="H24" s="27"/>
      <c r="I24" s="27"/>
      <c r="J24" s="27"/>
      <c r="K24" s="29">
        <f t="array" ref="K24">vlookup(D24, {Armor!C:C,Armor!D:D}, 2, 0)</f>
        <v>3</v>
      </c>
      <c r="L24" s="27" t="str">
        <f t="array" ref="L24">vlookup(D24, {Costs!B:B,Costs!C:C}, 2, 0)</f>
        <v>1 Electric Lizalfos Horn
3 Yellow Chuchu Jelly</v>
      </c>
      <c r="M24" s="30">
        <f t="array" ref="M24">vlookup(D24, {Armor!C:C,Armor!E:E}, 2, 0)</f>
        <v>5</v>
      </c>
      <c r="N24" s="27" t="str">
        <f t="array" ref="N24">vlookup(D24, {Costs!B:B,Costs!D:D}, 2, 0)</f>
        <v>8 Yellow Chuchu Jelly
5 Voltfruit</v>
      </c>
      <c r="O24" s="30">
        <f t="array" ref="O24">vlookup(D24, {Armor!C:C,Armor!F:F}, 2, 0)</f>
        <v>8</v>
      </c>
      <c r="P24" s="27" t="str">
        <f t="array" ref="P24">vlookup(D24, {Costs!B:B,Costs!E:E}, 2, 0)</f>
        <v>5 Zapshroom
5 Electric Lizalfos Tail
8 Electric Safflina</v>
      </c>
      <c r="Q24" s="30">
        <f t="array" ref="Q24">vlookup(D24, {Armor!C:C,Armor!G:G}, 2, 0)</f>
        <v>12</v>
      </c>
      <c r="R24" s="27" t="str">
        <f t="array" ref="R24">vlookup(D24, {Costs!B:B,Costs!F:F}, 2, 0)</f>
        <v>5 Electric Lizalfos Horn
5 Topaz
8 Electric Lizalfos Tail</v>
      </c>
      <c r="S24" s="26">
        <f t="array" ref="S24">vlookup(D24, {Armor!C:C,Armor!H:H}, 2, 0)</f>
        <v>20</v>
      </c>
    </row>
    <row r="25" ht="60.0" customHeight="1">
      <c r="A25" s="31">
        <v>24.0</v>
      </c>
      <c r="B25" s="31" t="s">
        <v>85</v>
      </c>
      <c r="C25" s="31" t="s">
        <v>53</v>
      </c>
      <c r="D25" s="32" t="s">
        <v>87</v>
      </c>
      <c r="E25" s="33" t="str">
        <f t="array" ref="E25">vlookup(D25, {Armor!C:C,Armor!A:A}, 2, 0)</f>
        <v/>
      </c>
      <c r="F25" s="33"/>
      <c r="G25" s="33"/>
      <c r="H25" s="33"/>
      <c r="I25" s="33"/>
      <c r="J25" s="33"/>
      <c r="K25" s="35">
        <f t="array" ref="K25">vlookup(D25, {Armor!C:C,Armor!D:D}, 2, 0)</f>
        <v>3</v>
      </c>
      <c r="L25" s="33" t="str">
        <f t="array" ref="L25">vlookup(D25, {Costs!B:B,Costs!C:C}, 2, 0)</f>
        <v>1 Electric Lizalfos Horn
3 Yellow Chuchu Jelly</v>
      </c>
      <c r="M25" s="36">
        <f t="array" ref="M25">vlookup(D25, {Armor!C:C,Armor!E:E}, 2, 0)</f>
        <v>5</v>
      </c>
      <c r="N25" s="33" t="str">
        <f t="array" ref="N25">vlookup(D25, {Costs!B:B,Costs!D:D}, 2, 0)</f>
        <v>8 Yellow Chuchu Jelly
5 Voltfruit</v>
      </c>
      <c r="O25" s="36">
        <f t="array" ref="O25">vlookup(D25, {Armor!C:C,Armor!F:F}, 2, 0)</f>
        <v>8</v>
      </c>
      <c r="P25" s="33" t="str">
        <f t="array" ref="P25">vlookup(D25, {Costs!B:B,Costs!E:E}, 2, 0)</f>
        <v>5 Zapshroom
5 Electric Lizalfos Tail
8 Electric Safflina</v>
      </c>
      <c r="Q25" s="36">
        <f t="array" ref="Q25">vlookup(D25, {Armor!C:C,Armor!G:G}, 2, 0)</f>
        <v>12</v>
      </c>
      <c r="R25" s="33" t="str">
        <f t="array" ref="R25">vlookup(D25, {Costs!B:B,Costs!F:F}, 2, 0)</f>
        <v>5 Electric Lizalfos Horn
5 Topaz
8 Electric Lizalfos Tail</v>
      </c>
      <c r="S25" s="32">
        <f t="array" ref="S25">vlookup(D25, {Armor!C:C,Armor!H:H}, 2, 0)</f>
        <v>20</v>
      </c>
    </row>
    <row r="26" ht="60.0" customHeight="1">
      <c r="A26" s="25">
        <v>25.0</v>
      </c>
      <c r="B26" s="25" t="s">
        <v>85</v>
      </c>
      <c r="C26" s="25" t="s">
        <v>56</v>
      </c>
      <c r="D26" s="26" t="s">
        <v>88</v>
      </c>
      <c r="E26" s="27" t="str">
        <f t="array" ref="E26">vlookup(D26, {Armor!C:C,Armor!A:A}, 2, 0)</f>
        <v/>
      </c>
      <c r="F26" s="27"/>
      <c r="G26" s="27"/>
      <c r="H26" s="27"/>
      <c r="I26" s="27"/>
      <c r="J26" s="27"/>
      <c r="K26" s="29">
        <f t="array" ref="K26">vlookup(D26, {Armor!C:C,Armor!D:D}, 2, 0)</f>
        <v>3</v>
      </c>
      <c r="L26" s="27" t="str">
        <f t="array" ref="L26">vlookup(D26, {Costs!B:B,Costs!C:C}, 2, 0)</f>
        <v>1 Electric Lizalfos Horn
3 Yellow Chuchu Jelly</v>
      </c>
      <c r="M26" s="30">
        <f t="array" ref="M26">vlookup(D26, {Armor!C:C,Armor!E:E}, 2, 0)</f>
        <v>5</v>
      </c>
      <c r="N26" s="27" t="str">
        <f t="array" ref="N26">vlookup(D26, {Costs!B:B,Costs!D:D}, 2, 0)</f>
        <v>8 Yellow Chuchu Jelly
5 Voltfruit</v>
      </c>
      <c r="O26" s="30">
        <f t="array" ref="O26">vlookup(D26, {Armor!C:C,Armor!F:F}, 2, 0)</f>
        <v>8</v>
      </c>
      <c r="P26" s="27" t="str">
        <f t="array" ref="P26">vlookup(D26, {Costs!B:B,Costs!E:E}, 2, 0)</f>
        <v>5 Zapshroom
5 Electric Lizalfos Tail
8 Electric Safflina</v>
      </c>
      <c r="Q26" s="30">
        <f t="array" ref="Q26">vlookup(D26, {Armor!C:C,Armor!G:G}, 2, 0)</f>
        <v>12</v>
      </c>
      <c r="R26" s="27" t="str">
        <f t="array" ref="R26">vlookup(D26, {Costs!B:B,Costs!F:F}, 2, 0)</f>
        <v>5 Electric Lizalfos Horn
5 Topaz
8 Electric Lizalfos Tail</v>
      </c>
      <c r="S26" s="26">
        <f t="array" ref="S26">vlookup(D26, {Armor!C:C,Armor!H:H}, 2, 0)</f>
        <v>20</v>
      </c>
    </row>
    <row r="27" ht="60.0" customHeight="1">
      <c r="A27" s="31">
        <v>26.0</v>
      </c>
      <c r="B27" s="31" t="s">
        <v>89</v>
      </c>
      <c r="C27" s="31" t="s">
        <v>60</v>
      </c>
      <c r="D27" s="32" t="s">
        <v>90</v>
      </c>
      <c r="E27" s="33" t="str">
        <f t="array" ref="E27">vlookup(D27, {Armor!C:C,Armor!A:A}, 2, 0)</f>
        <v/>
      </c>
      <c r="F27" s="33"/>
      <c r="G27" s="33"/>
      <c r="H27" s="33"/>
      <c r="I27" s="33"/>
      <c r="J27" s="33"/>
      <c r="K27" s="35">
        <f t="array" ref="K27">vlookup(D27, {Armor!C:C,Armor!D:D}, 2, 0)</f>
        <v>2</v>
      </c>
      <c r="L27" s="33" t="str">
        <f t="array" ref="L27">vlookup(D27, {Costs!B:B,Costs!C:C}, 2, 0)</f>
        <v>3 Blue Nightshade</v>
      </c>
      <c r="M27" s="36">
        <f t="array" ref="M27">vlookup(D27, {Armor!C:C,Armor!E:E}, 2, 0)</f>
        <v>4</v>
      </c>
      <c r="N27" s="33" t="str">
        <f t="array" ref="N27">vlookup(D27, {Costs!B:B,Costs!D:D}, 2, 0)</f>
        <v>5 Blue Nightshade
5 Sunset Firefly</v>
      </c>
      <c r="O27" s="36">
        <f t="array" ref="O27">vlookup(D27, {Armor!C:C,Armor!F:F}, 2, 0)</f>
        <v>6</v>
      </c>
      <c r="P27" s="33" t="str">
        <f t="array" ref="P27">vlookup(D27, {Costs!B:B,Costs!E:E}, 2, 0)</f>
        <v>8 Silent Shroom
5 Sneaky River Snail
5 Sticky Frog</v>
      </c>
      <c r="Q27" s="36">
        <f t="array" ref="Q27">vlookup(D27, {Armor!C:C,Armor!G:G}, 2, 0)</f>
        <v>9</v>
      </c>
      <c r="R27" s="33" t="str">
        <f t="array" ref="R27">vlookup(D27, {Costs!B:B,Costs!F:F}, 2, 0)</f>
        <v>10 Stealthfin Trout
5 Silent Princess
10 Sundelion</v>
      </c>
      <c r="S27" s="32">
        <f t="array" ref="S27">vlookup(D27, {Armor!C:C,Armor!H:H}, 2, 0)</f>
        <v>16</v>
      </c>
    </row>
    <row r="28" ht="60.0" customHeight="1">
      <c r="A28" s="25">
        <v>27.0</v>
      </c>
      <c r="B28" s="25" t="s">
        <v>89</v>
      </c>
      <c r="C28" s="25" t="s">
        <v>53</v>
      </c>
      <c r="D28" s="26" t="s">
        <v>91</v>
      </c>
      <c r="E28" s="27" t="str">
        <f t="array" ref="E28">vlookup(D28, {Armor!C:C,Armor!A:A}, 2, 0)</f>
        <v/>
      </c>
      <c r="F28" s="27"/>
      <c r="G28" s="27"/>
      <c r="H28" s="27"/>
      <c r="I28" s="27"/>
      <c r="J28" s="27"/>
      <c r="K28" s="29">
        <f t="array" ref="K28">vlookup(D28, {Armor!C:C,Armor!D:D}, 2, 0)</f>
        <v>2</v>
      </c>
      <c r="L28" s="27" t="str">
        <f t="array" ref="L28">vlookup(D28, {Costs!B:B,Costs!C:C}, 2, 0)</f>
        <v>3 Blue Nightshade</v>
      </c>
      <c r="M28" s="30">
        <f t="array" ref="M28">vlookup(D28, {Armor!C:C,Armor!E:E}, 2, 0)</f>
        <v>4</v>
      </c>
      <c r="N28" s="27" t="str">
        <f t="array" ref="N28">vlookup(D28, {Costs!B:B,Costs!D:D}, 2, 0)</f>
        <v>5 Blue Nightshade
5 Sunset Firefly</v>
      </c>
      <c r="O28" s="30">
        <f t="array" ref="O28">vlookup(D28, {Armor!C:C,Armor!F:F}, 2, 0)</f>
        <v>6</v>
      </c>
      <c r="P28" s="27" t="str">
        <f t="array" ref="P28">vlookup(D28, {Costs!B:B,Costs!E:E}, 2, 0)</f>
        <v>8 Silent Shroom
5 Sneaky River Snail
5 Sticky Frog</v>
      </c>
      <c r="Q28" s="30">
        <f t="array" ref="Q28">vlookup(D28, {Armor!C:C,Armor!G:G}, 2, 0)</f>
        <v>9</v>
      </c>
      <c r="R28" s="27" t="str">
        <f t="array" ref="R28">vlookup(D28, {Costs!B:B,Costs!F:F}, 2, 0)</f>
        <v>10 Stealthfin Trout
5 Silent Princess
10 Sundelion</v>
      </c>
      <c r="S28" s="26">
        <f t="array" ref="S28">vlookup(D28, {Armor!C:C,Armor!H:H}, 2, 0)</f>
        <v>16</v>
      </c>
    </row>
    <row r="29" ht="60.0" customHeight="1">
      <c r="A29" s="31">
        <v>28.0</v>
      </c>
      <c r="B29" s="31" t="s">
        <v>89</v>
      </c>
      <c r="C29" s="31" t="s">
        <v>56</v>
      </c>
      <c r="D29" s="32" t="s">
        <v>92</v>
      </c>
      <c r="E29" s="33" t="str">
        <f t="array" ref="E29">vlookup(D29, {Armor!C:C,Armor!A:A}, 2, 0)</f>
        <v/>
      </c>
      <c r="F29" s="33"/>
      <c r="G29" s="33"/>
      <c r="H29" s="33"/>
      <c r="I29" s="33"/>
      <c r="J29" s="33"/>
      <c r="K29" s="35">
        <f t="array" ref="K29">vlookup(D29, {Armor!C:C,Armor!D:D}, 2, 0)</f>
        <v>2</v>
      </c>
      <c r="L29" s="33" t="str">
        <f t="array" ref="L29">vlookup(D29, {Costs!B:B,Costs!C:C}, 2, 0)</f>
        <v>3 Blue Nightshade</v>
      </c>
      <c r="M29" s="36">
        <f t="array" ref="M29">vlookup(D29, {Armor!C:C,Armor!E:E}, 2, 0)</f>
        <v>4</v>
      </c>
      <c r="N29" s="33" t="str">
        <f t="array" ref="N29">vlookup(D29, {Costs!B:B,Costs!D:D}, 2, 0)</f>
        <v>5 Blue Nightshade
5 Sunset Firefly</v>
      </c>
      <c r="O29" s="36">
        <f t="array" ref="O29">vlookup(D29, {Armor!C:C,Armor!F:F}, 2, 0)</f>
        <v>6</v>
      </c>
      <c r="P29" s="33" t="str">
        <f t="array" ref="P29">vlookup(D29, {Costs!B:B,Costs!E:E}, 2, 0)</f>
        <v>8 Silent Shroom
5 Sneaky River Snail
5 Sticky Frog</v>
      </c>
      <c r="Q29" s="36">
        <f t="array" ref="Q29">vlookup(D29, {Armor!C:C,Armor!G:G}, 2, 0)</f>
        <v>9</v>
      </c>
      <c r="R29" s="33" t="str">
        <f t="array" ref="R29">vlookup(D29, {Costs!B:B,Costs!F:F}, 2, 0)</f>
        <v>10 Stealthfin Trout
5 Silent Princess
10 Sundelion</v>
      </c>
      <c r="S29" s="32">
        <f t="array" ref="S29">vlookup(D29, {Armor!C:C,Armor!H:H}, 2, 0)</f>
        <v>16</v>
      </c>
    </row>
    <row r="30" ht="60.0" customHeight="1">
      <c r="A30" s="25">
        <v>29.0</v>
      </c>
      <c r="B30" s="25" t="s">
        <v>93</v>
      </c>
      <c r="C30" s="25" t="s">
        <v>60</v>
      </c>
      <c r="D30" s="38" t="s">
        <v>94</v>
      </c>
      <c r="E30" s="27" t="str">
        <f t="array" ref="E30">vlookup(D30, {Armor!C:C,Armor!A:A}, 2, 0)</f>
        <v/>
      </c>
      <c r="F30" s="27"/>
      <c r="G30" s="27"/>
      <c r="H30" s="27"/>
      <c r="I30" s="27"/>
      <c r="J30" s="27"/>
      <c r="K30" s="29">
        <f t="array" ref="K30">vlookup(D30, {Armor!C:C,Armor!D:D}, 2, 0)</f>
        <v>3</v>
      </c>
      <c r="L30" s="27" t="str">
        <f t="array" ref="L30">vlookup(D30, {Costs!B:B,Costs!C:C}, 2, 0)</f>
        <v>3 Keese Wing
3 Rushroom</v>
      </c>
      <c r="M30" s="30">
        <f t="array" ref="M30">vlookup(D30, {Armor!C:C,Armor!E:E}, 2, 0)</f>
        <v>5</v>
      </c>
      <c r="N30" s="27" t="str">
        <f t="array" ref="N30">vlookup(D30, {Costs!B:B,Costs!D:D}, 2, 0)</f>
        <v>5 Electric Keese Wing
5 Hightail Lizard</v>
      </c>
      <c r="O30" s="30">
        <f t="array" ref="O30">vlookup(D30, {Armor!C:C,Armor!F:F}, 2, 0)</f>
        <v>8</v>
      </c>
      <c r="P30" s="27" t="str">
        <f t="array" ref="P30">vlookup(D30, {Costs!B:B,Costs!E:E}, 2, 0)</f>
        <v>8 Ice Keese Wing
10 Hot-Footed Frog</v>
      </c>
      <c r="Q30" s="30">
        <f t="array" ref="Q30">vlookup(D30, {Armor!C:C,Armor!G:G}, 2, 0)</f>
        <v>12</v>
      </c>
      <c r="R30" s="27" t="str">
        <f t="array" ref="R30">vlookup(D30, {Costs!B:B,Costs!F:F}, 2, 0)</f>
        <v>10 Fire Keese Wing
20 Swift Violet</v>
      </c>
      <c r="S30" s="26">
        <f t="array" ref="S30">vlookup(D30, {Armor!C:C,Armor!H:H}, 2, 0)</f>
        <v>20</v>
      </c>
    </row>
    <row r="31" ht="60.0" customHeight="1">
      <c r="A31" s="31">
        <v>30.0</v>
      </c>
      <c r="B31" s="31" t="s">
        <v>93</v>
      </c>
      <c r="C31" s="31" t="s">
        <v>53</v>
      </c>
      <c r="D31" s="32" t="s">
        <v>93</v>
      </c>
      <c r="E31" s="33" t="str">
        <f t="array" ref="E31">vlookup(D31, {Armor!C:C,Armor!A:A}, 2, 0)</f>
        <v/>
      </c>
      <c r="F31" s="33"/>
      <c r="G31" s="33"/>
      <c r="H31" s="33"/>
      <c r="I31" s="33"/>
      <c r="J31" s="33"/>
      <c r="K31" s="35">
        <f t="array" ref="K31">vlookup(D31, {Armor!C:C,Armor!D:D}, 2, 0)</f>
        <v>3</v>
      </c>
      <c r="L31" s="33" t="str">
        <f t="array" ref="L31">vlookup(D31, {Costs!B:B,Costs!C:C}, 2, 0)</f>
        <v>3 Keese Wing
3 Rushroom</v>
      </c>
      <c r="M31" s="36">
        <f t="array" ref="M31">vlookup(D31, {Armor!C:C,Armor!E:E}, 2, 0)</f>
        <v>5</v>
      </c>
      <c r="N31" s="33" t="str">
        <f t="array" ref="N31">vlookup(D31, {Costs!B:B,Costs!D:D}, 2, 0)</f>
        <v>5 Electric Keese Wing
5 Hightail Lizard</v>
      </c>
      <c r="O31" s="36">
        <f t="array" ref="O31">vlookup(D31, {Armor!C:C,Armor!F:F}, 2, 0)</f>
        <v>8</v>
      </c>
      <c r="P31" s="33" t="str">
        <f t="array" ref="P31">vlookup(D31, {Costs!B:B,Costs!E:E}, 2, 0)</f>
        <v>8 Ice Keese Wing
10 Hot-Footed Frog</v>
      </c>
      <c r="Q31" s="36">
        <f t="array" ref="Q31">vlookup(D31, {Armor!C:C,Armor!G:G}, 2, 0)</f>
        <v>12</v>
      </c>
      <c r="R31" s="33" t="str">
        <f t="array" ref="R31">vlookup(D31, {Costs!B:B,Costs!F:F}, 2, 0)</f>
        <v>10 Fire Keese Wing
20 Swift Violet</v>
      </c>
      <c r="S31" s="32">
        <f t="array" ref="S31">vlookup(D31, {Armor!C:C,Armor!H:H}, 2, 0)</f>
        <v>20</v>
      </c>
    </row>
    <row r="32" ht="60.0" customHeight="1">
      <c r="A32" s="25">
        <v>31.0</v>
      </c>
      <c r="B32" s="25" t="s">
        <v>93</v>
      </c>
      <c r="C32" s="25" t="s">
        <v>56</v>
      </c>
      <c r="D32" s="26" t="s">
        <v>95</v>
      </c>
      <c r="E32" s="27" t="str">
        <f t="array" ref="E32">vlookup(D32, {Armor!C:C,Armor!A:A}, 2, 0)</f>
        <v/>
      </c>
      <c r="F32" s="27"/>
      <c r="G32" s="27"/>
      <c r="H32" s="27"/>
      <c r="I32" s="27"/>
      <c r="J32" s="27"/>
      <c r="K32" s="29">
        <f t="array" ref="K32">vlookup(D32, {Armor!C:C,Armor!D:D}, 2, 0)</f>
        <v>3</v>
      </c>
      <c r="L32" s="27" t="str">
        <f t="array" ref="L32">vlookup(D32, {Costs!B:B,Costs!C:C}, 2, 0)</f>
        <v>3 Keese Wing
3 Rushroom</v>
      </c>
      <c r="M32" s="30">
        <f t="array" ref="M32">vlookup(D32, {Armor!C:C,Armor!E:E}, 2, 0)</f>
        <v>5</v>
      </c>
      <c r="N32" s="27" t="str">
        <f t="array" ref="N32">vlookup(D32, {Costs!B:B,Costs!D:D}, 2, 0)</f>
        <v>5 Electric Keese Wing
5 Hightail Lizard</v>
      </c>
      <c r="O32" s="30">
        <f t="array" ref="O32">vlookup(D32, {Armor!C:C,Armor!F:F}, 2, 0)</f>
        <v>8</v>
      </c>
      <c r="P32" s="27" t="str">
        <f t="array" ref="P32">vlookup(D32, {Costs!B:B,Costs!E:E}, 2, 0)</f>
        <v>8 Ice Keese Wing
10 Hot-Footed Frog</v>
      </c>
      <c r="Q32" s="30">
        <f t="array" ref="Q32">vlookup(D32, {Armor!C:C,Armor!G:G}, 2, 0)</f>
        <v>12</v>
      </c>
      <c r="R32" s="27" t="str">
        <f t="array" ref="R32">vlookup(D32, {Costs!B:B,Costs!F:F}, 2, 0)</f>
        <v>10 Fire Keese Wing
20 Swift Violet</v>
      </c>
      <c r="S32" s="26">
        <f t="array" ref="S32">vlookup(D32, {Armor!C:C,Armor!H:H}, 2, 0)</f>
        <v>20</v>
      </c>
    </row>
    <row r="33" ht="60.0" customHeight="1">
      <c r="A33" s="31">
        <v>32.0</v>
      </c>
      <c r="B33" s="31" t="s">
        <v>96</v>
      </c>
      <c r="C33" s="31" t="s">
        <v>60</v>
      </c>
      <c r="D33" s="32" t="s">
        <v>97</v>
      </c>
      <c r="E33" s="33" t="str">
        <f t="array" ref="E33">vlookup(D33, {Armor!C:C,Armor!A:A}, 2, 0)</f>
        <v/>
      </c>
      <c r="F33" s="33"/>
      <c r="G33" s="33"/>
      <c r="H33" s="33"/>
      <c r="I33" s="33"/>
      <c r="J33" s="33"/>
      <c r="K33" s="35">
        <f t="array" ref="K33">vlookup(D33, {Armor!C:C,Armor!D:D}, 2, 0)</f>
        <v>3</v>
      </c>
      <c r="L33" s="33" t="str">
        <f t="array" ref="L33">vlookup(D33, {Costs!B:B,Costs!C:C}, 2, 0)</f>
        <v>3 Mighty Thistle</v>
      </c>
      <c r="M33" s="36">
        <f t="array" ref="M33">vlookup(D33, {Armor!C:C,Armor!E:E}, 2, 0)</f>
        <v>5</v>
      </c>
      <c r="N33" s="33" t="str">
        <f t="array" ref="N33">vlookup(D33, {Costs!B:B,Costs!D:D}, 2, 0)</f>
        <v>2 Lynel Saber Horn
2 Lynel Mace Horn
5 Razorshroom</v>
      </c>
      <c r="O33" s="36">
        <f t="array" ref="O33">vlookup(D33, {Armor!C:C,Armor!F:F}, 2, 0)</f>
        <v>8</v>
      </c>
      <c r="P33" s="33" t="str">
        <f t="array" ref="P33">vlookup(D33, {Costs!B:B,Costs!E:E}, 2, 0)</f>
        <v>3 Blue-Maned Lynel Saber Horn
3 Blue-Maned Lynel Mace Horn
3 Razorclaw Crab</v>
      </c>
      <c r="Q33" s="36">
        <f t="array" ref="Q33">vlookup(D33, {Armor!C:C,Armor!G:G}, 2, 0)</f>
        <v>12</v>
      </c>
      <c r="R33" s="33" t="str">
        <f t="array" ref="R33">vlookup(D33, {Costs!B:B,Costs!F:F}, 2, 0)</f>
        <v>3 White-Maned Lynel Saber Horn
3 White-Maned Lynel Mace Horn
3 Bladed Rhino Beetle</v>
      </c>
      <c r="S33" s="32">
        <f t="array" ref="S33">vlookup(D33, {Armor!C:C,Armor!H:H}, 2, 0)</f>
        <v>20</v>
      </c>
    </row>
    <row r="34" ht="60.0" customHeight="1">
      <c r="A34" s="25">
        <v>33.0</v>
      </c>
      <c r="B34" s="25" t="s">
        <v>96</v>
      </c>
      <c r="C34" s="25" t="s">
        <v>53</v>
      </c>
      <c r="D34" s="26" t="s">
        <v>98</v>
      </c>
      <c r="E34" s="27" t="str">
        <f t="array" ref="E34">vlookup(D34, {Armor!C:C,Armor!A:A}, 2, 0)</f>
        <v/>
      </c>
      <c r="F34" s="27"/>
      <c r="G34" s="27"/>
      <c r="H34" s="27"/>
      <c r="I34" s="27"/>
      <c r="J34" s="27"/>
      <c r="K34" s="29">
        <f t="array" ref="K34">vlookup(D34, {Armor!C:C,Armor!D:D}, 2, 0)</f>
        <v>3</v>
      </c>
      <c r="L34" s="27" t="str">
        <f t="array" ref="L34">vlookup(D34, {Costs!B:B,Costs!C:C}, 2, 0)</f>
        <v>3 Mighty Thistle</v>
      </c>
      <c r="M34" s="30">
        <f t="array" ref="M34">vlookup(D34, {Armor!C:C,Armor!E:E}, 2, 0)</f>
        <v>5</v>
      </c>
      <c r="N34" s="27" t="str">
        <f t="array" ref="N34">vlookup(D34, {Costs!B:B,Costs!D:D}, 2, 0)</f>
        <v>2 Lynel Saber Horn
2 Lynel Mace Horn
5 Razorshroom</v>
      </c>
      <c r="O34" s="30">
        <f t="array" ref="O34">vlookup(D34, {Armor!C:C,Armor!F:F}, 2, 0)</f>
        <v>8</v>
      </c>
      <c r="P34" s="27" t="str">
        <f t="array" ref="P34">vlookup(D34, {Costs!B:B,Costs!E:E}, 2, 0)</f>
        <v>3 Blue-Maned Lynel Saber Horn
3 Blue-Maned Lynel Mace Horn
3 Razorclaw Crab</v>
      </c>
      <c r="Q34" s="30">
        <f t="array" ref="Q34">vlookup(D34, {Armor!C:C,Armor!G:G}, 2, 0)</f>
        <v>12</v>
      </c>
      <c r="R34" s="27" t="str">
        <f t="array" ref="R34">vlookup(D34, {Costs!B:B,Costs!F:F}, 2, 0)</f>
        <v>3 White-Maned Lynel Saber Horn
3 White-Maned Lynel Mace Horn
3 Bladed Rhino Beetle</v>
      </c>
      <c r="S34" s="26">
        <f t="array" ref="S34">vlookup(D34, {Armor!C:C,Armor!H:H}, 2, 0)</f>
        <v>20</v>
      </c>
    </row>
    <row r="35" ht="60.0" customHeight="1">
      <c r="A35" s="31">
        <v>34.0</v>
      </c>
      <c r="B35" s="31" t="s">
        <v>96</v>
      </c>
      <c r="C35" s="31" t="s">
        <v>56</v>
      </c>
      <c r="D35" s="32" t="s">
        <v>99</v>
      </c>
      <c r="E35" s="33" t="str">
        <f t="array" ref="E35">vlookup(D35, {Armor!C:C,Armor!A:A}, 2, 0)</f>
        <v/>
      </c>
      <c r="F35" s="33"/>
      <c r="G35" s="33"/>
      <c r="H35" s="33"/>
      <c r="I35" s="33"/>
      <c r="J35" s="33"/>
      <c r="K35" s="35">
        <f t="array" ref="K35">vlookup(D35, {Armor!C:C,Armor!D:D}, 2, 0)</f>
        <v>3</v>
      </c>
      <c r="L35" s="33" t="str">
        <f t="array" ref="L35">vlookup(D35, {Costs!B:B,Costs!C:C}, 2, 0)</f>
        <v>3 Mighty Thistle</v>
      </c>
      <c r="M35" s="36">
        <f t="array" ref="M35">vlookup(D35, {Armor!C:C,Armor!E:E}, 2, 0)</f>
        <v>5</v>
      </c>
      <c r="N35" s="33" t="str">
        <f t="array" ref="N35">vlookup(D35, {Costs!B:B,Costs!D:D}, 2, 0)</f>
        <v>2 Lynel Saber Horn
2 Lynel Mace Horn
5 Razorshroom</v>
      </c>
      <c r="O35" s="36">
        <f t="array" ref="O35">vlookup(D35, {Armor!C:C,Armor!F:F}, 2, 0)</f>
        <v>8</v>
      </c>
      <c r="P35" s="33" t="str">
        <f t="array" ref="P35">vlookup(D35, {Costs!B:B,Costs!E:E}, 2, 0)</f>
        <v>3 Blue-Maned Lynel Saber Horn
3 Blue-Maned Lynel Mace Horn
3 Razorclaw Crab</v>
      </c>
      <c r="Q35" s="36">
        <f t="array" ref="Q35">vlookup(D35, {Armor!C:C,Armor!G:G}, 2, 0)</f>
        <v>12</v>
      </c>
      <c r="R35" s="33" t="str">
        <f t="array" ref="R35">vlookup(D35, {Costs!B:B,Costs!F:F}, 2, 0)</f>
        <v>3 White-Maned Lynel Saber Horn
3 White-Maned Lynel Mace Horn
3 Bladed Rhino Beetle</v>
      </c>
      <c r="S35" s="32">
        <f t="array" ref="S35">vlookup(D35, {Armor!C:C,Armor!H:H}, 2, 0)</f>
        <v>20</v>
      </c>
    </row>
    <row r="36" ht="60.0" customHeight="1">
      <c r="A36" s="25">
        <v>35.0</v>
      </c>
      <c r="B36" s="25" t="s">
        <v>100</v>
      </c>
      <c r="C36" s="25" t="s">
        <v>60</v>
      </c>
      <c r="D36" s="26" t="s">
        <v>101</v>
      </c>
      <c r="E36" s="27" t="str">
        <f t="array" ref="E36">vlookup(D36, {Armor!C:C,Armor!A:A}, 2, 0)</f>
        <v/>
      </c>
      <c r="F36" s="27"/>
      <c r="G36" s="27"/>
      <c r="H36" s="27"/>
      <c r="I36" s="27"/>
      <c r="J36" s="27"/>
      <c r="K36" s="29">
        <f t="array" ref="K36">vlookup(D36, {Armor!C:C,Armor!D:D}, 2, 0)</f>
        <v>3</v>
      </c>
      <c r="L36" s="27" t="str">
        <f t="array" ref="L36">vlookup(D36, {Costs!B:B,Costs!C:C}, 2, 0)</f>
        <v>10 Luminous Stone
1 Bokoblin Guts</v>
      </c>
      <c r="M36" s="30">
        <f t="array" ref="M36">vlookup(D36, {Armor!C:C,Armor!E:E}, 2, 0)</f>
        <v>5</v>
      </c>
      <c r="N36" s="27" t="str">
        <f t="array" ref="N36">vlookup(D36, {Costs!B:B,Costs!D:D}, 2, 0)</f>
        <v>15 Luminous Stone
2 Moblin Guts</v>
      </c>
      <c r="O36" s="30">
        <f t="array" ref="O36">vlookup(D36, {Armor!C:C,Armor!F:F}, 2, 0)</f>
        <v>8</v>
      </c>
      <c r="P36" s="27" t="str">
        <f t="array" ref="P36">vlookup(D36, {Costs!B:B,Costs!E:E}, 2, 0)</f>
        <v>20 Luminous Stone
3 Horriblin Guts
10 Gibdo Bone</v>
      </c>
      <c r="Q36" s="30">
        <f t="array" ref="Q36">vlookup(D36, {Armor!C:C,Armor!G:G}, 2, 0)</f>
        <v>12</v>
      </c>
      <c r="R36" s="27" t="str">
        <f t="array" ref="R36">vlookup(D36, {Costs!B:B,Costs!F:F}, 2, 0)</f>
        <v>30 Luminous Stone
3 Lynel Guts
3 Molduga Jaw</v>
      </c>
      <c r="S36" s="26">
        <f t="array" ref="S36">vlookup(D36, {Armor!C:C,Armor!H:H}, 2, 0)</f>
        <v>20</v>
      </c>
    </row>
    <row r="37" ht="60.0" customHeight="1">
      <c r="A37" s="31">
        <v>36.0</v>
      </c>
      <c r="B37" s="31" t="s">
        <v>100</v>
      </c>
      <c r="C37" s="31" t="s">
        <v>53</v>
      </c>
      <c r="D37" s="32" t="s">
        <v>102</v>
      </c>
      <c r="E37" s="33" t="str">
        <f t="array" ref="E37">vlookup(D37, {Armor!C:C,Armor!A:A}, 2, 0)</f>
        <v/>
      </c>
      <c r="F37" s="33"/>
      <c r="G37" s="33"/>
      <c r="H37" s="33"/>
      <c r="I37" s="33"/>
      <c r="J37" s="33"/>
      <c r="K37" s="35">
        <f t="array" ref="K37">vlookup(D37, {Armor!C:C,Armor!D:D}, 2, 0)</f>
        <v>3</v>
      </c>
      <c r="L37" s="33" t="str">
        <f t="array" ref="L37">vlookup(D37, {Costs!B:B,Costs!C:C}, 2, 0)</f>
        <v>10 Luminous Stone
1 Bokoblin Guts</v>
      </c>
      <c r="M37" s="36">
        <f t="array" ref="M37">vlookup(D37, {Armor!C:C,Armor!E:E}, 2, 0)</f>
        <v>5</v>
      </c>
      <c r="N37" s="33" t="str">
        <f t="array" ref="N37">vlookup(D37, {Costs!B:B,Costs!D:D}, 2, 0)</f>
        <v>15 Luminous Stone
2 Moblin Guts</v>
      </c>
      <c r="O37" s="36">
        <f t="array" ref="O37">vlookup(D37, {Armor!C:C,Armor!F:F}, 2, 0)</f>
        <v>8</v>
      </c>
      <c r="P37" s="33" t="str">
        <f t="array" ref="P37">vlookup(D37, {Costs!B:B,Costs!E:E}, 2, 0)</f>
        <v>20 Luminous Stone
3 Horriblin Guts
10 Gibdo Bone</v>
      </c>
      <c r="Q37" s="36">
        <f t="array" ref="Q37">vlookup(D37, {Armor!C:C,Armor!G:G}, 2, 0)</f>
        <v>12</v>
      </c>
      <c r="R37" s="33" t="str">
        <f t="array" ref="R37">vlookup(D37, {Costs!B:B,Costs!F:F}, 2, 0)</f>
        <v>30 Luminous Stone
3 Lynel Guts
3 Molduga Jaw</v>
      </c>
      <c r="S37" s="32">
        <f t="array" ref="S37">vlookup(D37, {Armor!C:C,Armor!H:H}, 2, 0)</f>
        <v>20</v>
      </c>
    </row>
    <row r="38" ht="60.0" customHeight="1">
      <c r="A38" s="25">
        <v>37.0</v>
      </c>
      <c r="B38" s="25" t="s">
        <v>100</v>
      </c>
      <c r="C38" s="25" t="s">
        <v>56</v>
      </c>
      <c r="D38" s="26" t="s">
        <v>103</v>
      </c>
      <c r="E38" s="27" t="str">
        <f t="array" ref="E38">vlookup(D38, {Armor!C:C,Armor!A:A}, 2, 0)</f>
        <v/>
      </c>
      <c r="F38" s="27"/>
      <c r="G38" s="27"/>
      <c r="H38" s="27"/>
      <c r="I38" s="27"/>
      <c r="J38" s="27"/>
      <c r="K38" s="29">
        <f t="array" ref="K38">vlookup(D38, {Armor!C:C,Armor!D:D}, 2, 0)</f>
        <v>3</v>
      </c>
      <c r="L38" s="27" t="str">
        <f t="array" ref="L38">vlookup(D38, {Costs!B:B,Costs!C:C}, 2, 0)</f>
        <v>10 Luminous Stone
1 Bokoblin Guts</v>
      </c>
      <c r="M38" s="30">
        <f t="array" ref="M38">vlookup(D38, {Armor!C:C,Armor!E:E}, 2, 0)</f>
        <v>5</v>
      </c>
      <c r="N38" s="27" t="str">
        <f t="array" ref="N38">vlookup(D38, {Costs!B:B,Costs!D:D}, 2, 0)</f>
        <v>15 Luminous Stone
2 Moblin Guts</v>
      </c>
      <c r="O38" s="30">
        <f t="array" ref="O38">vlookup(D38, {Armor!C:C,Armor!F:F}, 2, 0)</f>
        <v>8</v>
      </c>
      <c r="P38" s="27" t="str">
        <f t="array" ref="P38">vlookup(D38, {Costs!B:B,Costs!E:E}, 2, 0)</f>
        <v>20 Luminous Stone
3 Horriblin Guts
10 Gibdo Bone</v>
      </c>
      <c r="Q38" s="30">
        <f t="array" ref="Q38">vlookup(D38, {Armor!C:C,Armor!G:G}, 2, 0)</f>
        <v>12</v>
      </c>
      <c r="R38" s="27" t="str">
        <f t="array" ref="R38">vlookup(D38, {Costs!B:B,Costs!F:F}, 2, 0)</f>
        <v>30 Luminous Stone
3 Lynel Guts
3 Molduga Jaw</v>
      </c>
      <c r="S38" s="26">
        <f t="array" ref="S38">vlookup(D38, {Armor!C:C,Armor!H:H}, 2, 0)</f>
        <v>20</v>
      </c>
    </row>
    <row r="39" ht="60.0" customHeight="1">
      <c r="A39" s="31">
        <v>38.0</v>
      </c>
      <c r="B39" s="31" t="s">
        <v>104</v>
      </c>
      <c r="C39" s="31" t="s">
        <v>60</v>
      </c>
      <c r="D39" s="32" t="s">
        <v>105</v>
      </c>
      <c r="E39" s="33" t="str">
        <f t="array" ref="E39">vlookup(D39, {Armor!C:C,Armor!A:A}, 2, 0)</f>
        <v/>
      </c>
      <c r="F39" s="33"/>
      <c r="G39" s="33"/>
      <c r="H39" s="33"/>
      <c r="I39" s="33"/>
      <c r="J39" s="33"/>
      <c r="K39" s="35">
        <f t="array" ref="K39">vlookup(D39, {Armor!C:C,Armor!D:D}, 2, 0)</f>
        <v>4</v>
      </c>
      <c r="L39" s="33" t="str">
        <f t="array" ref="L39">vlookup(D39, {Costs!B:B,Costs!C:C}, 2, 0)</f>
        <v>3 Boss Bokoblin Horn
3 Bokoblin Guts</v>
      </c>
      <c r="M39" s="36">
        <f t="array" ref="M39">vlookup(D39, {Armor!C:C,Armor!E:E}, 2, 0)</f>
        <v>6</v>
      </c>
      <c r="N39" s="33" t="str">
        <f t="array" ref="N39">vlookup(D39, {Costs!B:B,Costs!D:D}, 2, 0)</f>
        <v>3 Blue Boss Bokoblin Horn
3 Boss Bokoblin Guts</v>
      </c>
      <c r="O39" s="36">
        <f t="array" ref="O39">vlookup(D39, {Armor!C:C,Armor!F:F}, 2, 0)</f>
        <v>10</v>
      </c>
      <c r="P39" s="33" t="str">
        <f t="array" ref="P39">vlookup(D39, {Costs!B:B,Costs!E:E}, 2, 0)</f>
        <v>3 Black Boss Bokoblin Horn
3 Hinox Guts</v>
      </c>
      <c r="Q39" s="36">
        <f t="array" ref="Q39">vlookup(D39, {Armor!C:C,Armor!G:G}, 2, 0)</f>
        <v>15</v>
      </c>
      <c r="R39" s="33" t="str">
        <f t="array" ref="R39">vlookup(D39, {Costs!B:B,Costs!F:F}, 2, 0)</f>
        <v>3 Silver Boss Bokoblin Horn
3 Molduga Guts
3 Gleeok Guts</v>
      </c>
      <c r="S39" s="32">
        <f t="array" ref="S39">vlookup(D39, {Armor!C:C,Armor!H:H}, 2, 0)</f>
        <v>24</v>
      </c>
    </row>
    <row r="40" ht="60.0" customHeight="1">
      <c r="A40" s="25">
        <v>39.0</v>
      </c>
      <c r="B40" s="25" t="s">
        <v>104</v>
      </c>
      <c r="C40" s="25" t="s">
        <v>53</v>
      </c>
      <c r="D40" s="26" t="s">
        <v>106</v>
      </c>
      <c r="E40" s="27" t="str">
        <f t="array" ref="E40">vlookup(D40, {Armor!C:C,Armor!A:A}, 2, 0)</f>
        <v/>
      </c>
      <c r="F40" s="27"/>
      <c r="G40" s="27"/>
      <c r="H40" s="27"/>
      <c r="I40" s="27"/>
      <c r="J40" s="27"/>
      <c r="K40" s="29">
        <f t="array" ref="K40">vlookup(D40, {Armor!C:C,Armor!D:D}, 2, 0)</f>
        <v>4</v>
      </c>
      <c r="L40" s="27" t="str">
        <f t="array" ref="L40">vlookup(D40, {Costs!B:B,Costs!C:C}, 2, 0)</f>
        <v>3 Boss Bokoblin Horn
3 Bokoblin Guts</v>
      </c>
      <c r="M40" s="30">
        <f t="array" ref="M40">vlookup(D40, {Armor!C:C,Armor!E:E}, 2, 0)</f>
        <v>6</v>
      </c>
      <c r="N40" s="27" t="str">
        <f t="array" ref="N40">vlookup(D40, {Costs!B:B,Costs!D:D}, 2, 0)</f>
        <v>3 Blue Boss Bokoblin Horn
3 Boss Bokoblin Guts</v>
      </c>
      <c r="O40" s="30">
        <f t="array" ref="O40">vlookup(D40, {Armor!C:C,Armor!F:F}, 2, 0)</f>
        <v>10</v>
      </c>
      <c r="P40" s="27" t="str">
        <f t="array" ref="P40">vlookup(D40, {Costs!B:B,Costs!E:E}, 2, 0)</f>
        <v>3 Black Boss Bokoblin Horn
3 Hinox Guts</v>
      </c>
      <c r="Q40" s="30">
        <f t="array" ref="Q40">vlookup(D40, {Armor!C:C,Armor!G:G}, 2, 0)</f>
        <v>15</v>
      </c>
      <c r="R40" s="27" t="str">
        <f t="array" ref="R40">vlookup(D40, {Costs!B:B,Costs!F:F}, 2, 0)</f>
        <v>3 Silver Boss Bokoblin Horn
3 Molduga Guts
3 Gleeok Guts</v>
      </c>
      <c r="S40" s="26">
        <f t="array" ref="S40">vlookup(D40, {Armor!C:C,Armor!H:H}, 2, 0)</f>
        <v>24</v>
      </c>
    </row>
    <row r="41" ht="60.0" customHeight="1">
      <c r="A41" s="31">
        <v>40.0</v>
      </c>
      <c r="B41" s="31" t="s">
        <v>104</v>
      </c>
      <c r="C41" s="31" t="s">
        <v>56</v>
      </c>
      <c r="D41" s="32" t="s">
        <v>107</v>
      </c>
      <c r="E41" s="33" t="str">
        <f t="array" ref="E41">vlookup(D41, {Armor!C:C,Armor!A:A}, 2, 0)</f>
        <v/>
      </c>
      <c r="F41" s="33"/>
      <c r="G41" s="33"/>
      <c r="H41" s="33"/>
      <c r="I41" s="33"/>
      <c r="J41" s="33"/>
      <c r="K41" s="35">
        <f t="array" ref="K41">vlookup(D41, {Armor!C:C,Armor!D:D}, 2, 0)</f>
        <v>4</v>
      </c>
      <c r="L41" s="33" t="str">
        <f t="array" ref="L41">vlookup(D41, {Costs!B:B,Costs!C:C}, 2, 0)</f>
        <v>3 Boss Bokoblin Horn
3 Bokoblin Guts</v>
      </c>
      <c r="M41" s="36">
        <f t="array" ref="M41">vlookup(D41, {Armor!C:C,Armor!E:E}, 2, 0)</f>
        <v>6</v>
      </c>
      <c r="N41" s="33" t="str">
        <f t="array" ref="N41">vlookup(D41, {Costs!B:B,Costs!D:D}, 2, 0)</f>
        <v>3 Blue Boss Bokoblin Horn
3 Boss Bokoblin Guts</v>
      </c>
      <c r="O41" s="36">
        <f t="array" ref="O41">vlookup(D41, {Armor!C:C,Armor!F:F}, 2, 0)</f>
        <v>10</v>
      </c>
      <c r="P41" s="33" t="str">
        <f t="array" ref="P41">vlookup(D41, {Costs!B:B,Costs!E:E}, 2, 0)</f>
        <v>3 Black Boss Bokoblin Horn
3 Hinox Guts</v>
      </c>
      <c r="Q41" s="36">
        <f t="array" ref="Q41">vlookup(D41, {Armor!C:C,Armor!G:G}, 2, 0)</f>
        <v>15</v>
      </c>
      <c r="R41" s="33" t="str">
        <f t="array" ref="R41">vlookup(D41, {Costs!B:B,Costs!F:F}, 2, 0)</f>
        <v>3 Silver Boss Bokoblin Horn
3 Molduga Guts
3 Gleeok Guts</v>
      </c>
      <c r="S41" s="32">
        <f t="array" ref="S41">vlookup(D41, {Armor!C:C,Armor!H:H}, 2, 0)</f>
        <v>24</v>
      </c>
    </row>
    <row r="42" ht="60.0" customHeight="1">
      <c r="A42" s="25">
        <v>41.0</v>
      </c>
      <c r="B42" s="25" t="s">
        <v>108</v>
      </c>
      <c r="C42" s="25" t="s">
        <v>60</v>
      </c>
      <c r="D42" s="26" t="s">
        <v>109</v>
      </c>
      <c r="E42" s="27" t="str">
        <f t="array" ref="E42">vlookup(D42, {Armor!C:C,Armor!A:A}, 2, 0)</f>
        <v/>
      </c>
      <c r="F42" s="27"/>
      <c r="G42" s="27"/>
      <c r="H42" s="27"/>
      <c r="I42" s="27"/>
      <c r="J42" s="27"/>
      <c r="K42" s="29">
        <f t="array" ref="K42">vlookup(D42, {Armor!C:C,Armor!D:D}, 2, 0)</f>
        <v>3</v>
      </c>
      <c r="L42" s="27" t="str">
        <f t="array" ref="L42">vlookup(D42, {Costs!B:B,Costs!C:C}, 2, 0)</f>
        <v>3 Sticky Lizard</v>
      </c>
      <c r="M42" s="30">
        <f t="array" ref="M42">vlookup(D42, {Armor!C:C,Armor!E:E}, 2, 0)</f>
        <v>5</v>
      </c>
      <c r="N42" s="27" t="str">
        <f t="array" ref="N42">vlookup(D42, {Costs!B:B,Costs!D:D}, 2, 0)</f>
        <v>5 Horriblin Horn
5 Sticky Lizard</v>
      </c>
      <c r="O42" s="30">
        <f t="array" ref="O42">vlookup(D42, {Armor!C:C,Armor!F:F}, 2, 0)</f>
        <v>8</v>
      </c>
      <c r="P42" s="27" t="str">
        <f t="array" ref="P42">vlookup(D42, {Costs!B:B,Costs!E:E}, 2, 0)</f>
        <v>5 Blue Horriblin Horn
5 Sticky Frog</v>
      </c>
      <c r="Q42" s="30">
        <f t="array" ref="Q42">vlookup(D42, {Armor!C:C,Armor!G:G}, 2, 0)</f>
        <v>12</v>
      </c>
      <c r="R42" s="27" t="str">
        <f t="array" ref="R42">vlookup(D42, {Costs!B:B,Costs!F:F}, 2, 0)</f>
        <v>5 Black Horriblin Horn
10 Horriblin Guts
10 Opal</v>
      </c>
      <c r="S42" s="26">
        <f t="array" ref="S42">vlookup(D42, {Armor!C:C,Armor!H:H}, 2, 0)</f>
        <v>20</v>
      </c>
    </row>
    <row r="43" ht="60.0" customHeight="1">
      <c r="A43" s="31">
        <v>42.0</v>
      </c>
      <c r="B43" s="31" t="s">
        <v>108</v>
      </c>
      <c r="C43" s="31" t="s">
        <v>53</v>
      </c>
      <c r="D43" s="32" t="s">
        <v>110</v>
      </c>
      <c r="E43" s="33" t="str">
        <f t="array" ref="E43">vlookup(D43, {Armor!C:C,Armor!A:A}, 2, 0)</f>
        <v/>
      </c>
      <c r="F43" s="33"/>
      <c r="G43" s="33"/>
      <c r="H43" s="33"/>
      <c r="I43" s="33"/>
      <c r="J43" s="33"/>
      <c r="K43" s="35">
        <f t="array" ref="K43">vlookup(D43, {Armor!C:C,Armor!D:D}, 2, 0)</f>
        <v>3</v>
      </c>
      <c r="L43" s="33" t="str">
        <f t="array" ref="L43">vlookup(D43, {Costs!B:B,Costs!C:C}, 2, 0)</f>
        <v>3 Sticky Lizard</v>
      </c>
      <c r="M43" s="36">
        <f t="array" ref="M43">vlookup(D43, {Armor!C:C,Armor!E:E}, 2, 0)</f>
        <v>5</v>
      </c>
      <c r="N43" s="33" t="str">
        <f t="array" ref="N43">vlookup(D43, {Costs!B:B,Costs!D:D}, 2, 0)</f>
        <v>5 Horriblin Horn
5 Sticky Lizard</v>
      </c>
      <c r="O43" s="36">
        <f t="array" ref="O43">vlookup(D43, {Armor!C:C,Armor!F:F}, 2, 0)</f>
        <v>8</v>
      </c>
      <c r="P43" s="33" t="str">
        <f t="array" ref="P43">vlookup(D43, {Costs!B:B,Costs!E:E}, 2, 0)</f>
        <v>5 Blue Horriblin Horn
5 Sticky Frog</v>
      </c>
      <c r="Q43" s="36">
        <f t="array" ref="Q43">vlookup(D43, {Armor!C:C,Armor!G:G}, 2, 0)</f>
        <v>12</v>
      </c>
      <c r="R43" s="33" t="str">
        <f t="array" ref="R43">vlookup(D43, {Costs!B:B,Costs!F:F}, 2, 0)</f>
        <v>5 Black Horriblin Horn
10 Horriblin Guts
10 Opal</v>
      </c>
      <c r="S43" s="32">
        <f t="array" ref="S43">vlookup(D43, {Armor!C:C,Armor!H:H}, 2, 0)</f>
        <v>20</v>
      </c>
    </row>
    <row r="44" ht="60.0" customHeight="1">
      <c r="A44" s="25">
        <v>43.0</v>
      </c>
      <c r="B44" s="25" t="s">
        <v>108</v>
      </c>
      <c r="C44" s="25" t="s">
        <v>56</v>
      </c>
      <c r="D44" s="26" t="s">
        <v>111</v>
      </c>
      <c r="E44" s="27" t="str">
        <f t="array" ref="E44">vlookup(D44, {Armor!C:C,Armor!A:A}, 2, 0)</f>
        <v/>
      </c>
      <c r="F44" s="27"/>
      <c r="G44" s="27"/>
      <c r="H44" s="27"/>
      <c r="I44" s="27"/>
      <c r="J44" s="27"/>
      <c r="K44" s="29">
        <f t="array" ref="K44">vlookup(D44, {Armor!C:C,Armor!D:D}, 2, 0)</f>
        <v>3</v>
      </c>
      <c r="L44" s="27" t="str">
        <f t="array" ref="L44">vlookup(D44, {Costs!B:B,Costs!C:C}, 2, 0)</f>
        <v>3 Sticky Lizard</v>
      </c>
      <c r="M44" s="30">
        <f t="array" ref="M44">vlookup(D44, {Armor!C:C,Armor!E:E}, 2, 0)</f>
        <v>5</v>
      </c>
      <c r="N44" s="27" t="str">
        <f t="array" ref="N44">vlookup(D44, {Costs!B:B,Costs!D:D}, 2, 0)</f>
        <v>5 Horriblin Horn
5 Sticky Lizard</v>
      </c>
      <c r="O44" s="30">
        <f t="array" ref="O44">vlookup(D44, {Armor!C:C,Armor!F:F}, 2, 0)</f>
        <v>8</v>
      </c>
      <c r="P44" s="27" t="str">
        <f t="array" ref="P44">vlookup(D44, {Costs!B:B,Costs!E:E}, 2, 0)</f>
        <v>5 Blue Horriblin Horn
5 Sticky Frog</v>
      </c>
      <c r="Q44" s="30">
        <f t="array" ref="Q44">vlookup(D44, {Armor!C:C,Armor!G:G}, 2, 0)</f>
        <v>12</v>
      </c>
      <c r="R44" s="27" t="str">
        <f t="array" ref="R44">vlookup(D44, {Costs!B:B,Costs!F:F}, 2, 0)</f>
        <v>5 Black Horriblin Horn
10 Horriblin Guts
10 Opal</v>
      </c>
      <c r="S44" s="26">
        <f t="array" ref="S44">vlookup(D44, {Armor!C:C,Armor!H:H}, 2, 0)</f>
        <v>20</v>
      </c>
    </row>
    <row r="45" ht="60.0" customHeight="1">
      <c r="A45" s="31">
        <v>44.0</v>
      </c>
      <c r="B45" s="31" t="s">
        <v>112</v>
      </c>
      <c r="C45" s="31" t="s">
        <v>60</v>
      </c>
      <c r="D45" s="32" t="s">
        <v>113</v>
      </c>
      <c r="E45" s="33" t="str">
        <f t="array" ref="E45">vlookup(D45, {Armor!C:C,Armor!A:A}, 2, 0)</f>
        <v/>
      </c>
      <c r="F45" s="33"/>
      <c r="G45" s="33"/>
      <c r="H45" s="33"/>
      <c r="I45" s="33"/>
      <c r="J45" s="33"/>
      <c r="K45" s="35">
        <f t="array" ref="K45">vlookup(D45, {Armor!C:C,Armor!D:D}, 2, 0)</f>
        <v>2</v>
      </c>
      <c r="L45" s="33" t="str">
        <f t="array" ref="L45">vlookup(D45, {Costs!B:B,Costs!C:C}, 2, 0)</f>
        <v>3 Keese Wing</v>
      </c>
      <c r="M45" s="36">
        <f t="array" ref="M45">vlookup(D45, {Armor!C:C,Armor!E:E}, 2, 0)</f>
        <v>4</v>
      </c>
      <c r="N45" s="33" t="str">
        <f t="array" ref="N45">vlookup(D45, {Costs!B:B,Costs!D:D}, 2, 0)</f>
        <v>6 Aerocuda Eyeball
5 Keese Wing</v>
      </c>
      <c r="O45" s="36">
        <f t="array" ref="O45">vlookup(D45, {Armor!C:C,Armor!F:F}, 2, 0)</f>
        <v>6</v>
      </c>
      <c r="P45" s="33" t="str">
        <f t="array" ref="P45">vlookup(D45, {Costs!B:B,Costs!E:E}, 2, 0)</f>
        <v>6 Aerocuda Wing
8 Aerocuda Eyeball</v>
      </c>
      <c r="Q45" s="36">
        <f t="array" ref="Q45">vlookup(D45, {Armor!C:C,Armor!G:G}, 2, 0)</f>
        <v>9</v>
      </c>
      <c r="R45" s="33" t="str">
        <f t="array" ref="R45">vlookup(D45, {Costs!B:B,Costs!F:F}, 2, 0)</f>
        <v>12 Gleeok Wing
10 Aerocuda Wing
8 Gibdo Wing</v>
      </c>
      <c r="S45" s="32">
        <f t="array" ref="S45">vlookup(D45, {Armor!C:C,Armor!H:H}, 2, 0)</f>
        <v>16</v>
      </c>
    </row>
    <row r="46" ht="60.0" customHeight="1">
      <c r="A46" s="25">
        <v>45.0</v>
      </c>
      <c r="B46" s="25" t="s">
        <v>112</v>
      </c>
      <c r="C46" s="25" t="s">
        <v>53</v>
      </c>
      <c r="D46" s="26" t="s">
        <v>114</v>
      </c>
      <c r="E46" s="27" t="str">
        <f t="array" ref="E46">vlookup(D46, {Armor!C:C,Armor!A:A}, 2, 0)</f>
        <v/>
      </c>
      <c r="F46" s="27"/>
      <c r="G46" s="27"/>
      <c r="H46" s="27"/>
      <c r="I46" s="27"/>
      <c r="J46" s="27"/>
      <c r="K46" s="29">
        <f t="array" ref="K46">vlookup(D46, {Armor!C:C,Armor!D:D}, 2, 0)</f>
        <v>2</v>
      </c>
      <c r="L46" s="27" t="str">
        <f t="array" ref="L46">vlookup(D46, {Costs!B:B,Costs!C:C}, 2, 0)</f>
        <v>3 Keese Wing</v>
      </c>
      <c r="M46" s="30">
        <f t="array" ref="M46">vlookup(D46, {Armor!C:C,Armor!E:E}, 2, 0)</f>
        <v>4</v>
      </c>
      <c r="N46" s="27" t="str">
        <f t="array" ref="N46">vlookup(D46, {Costs!B:B,Costs!D:D}, 2, 0)</f>
        <v>6 Aerocuda Eyeball
5 Keese Wing</v>
      </c>
      <c r="O46" s="30">
        <f t="array" ref="O46">vlookup(D46, {Armor!C:C,Armor!F:F}, 2, 0)</f>
        <v>6</v>
      </c>
      <c r="P46" s="27" t="str">
        <f t="array" ref="P46">vlookup(D46, {Costs!B:B,Costs!E:E}, 2, 0)</f>
        <v>6 Aerocuda Wing
8 Aerocuda Eyeball</v>
      </c>
      <c r="Q46" s="30">
        <f t="array" ref="Q46">vlookup(D46, {Armor!C:C,Armor!G:G}, 2, 0)</f>
        <v>9</v>
      </c>
      <c r="R46" s="27" t="str">
        <f t="array" ref="R46">vlookup(D46, {Costs!B:B,Costs!F:F}, 2, 0)</f>
        <v>12 Gleeok Wing
10 Aerocuda Wing
8 Gibdo Wing</v>
      </c>
      <c r="S46" s="26">
        <f t="array" ref="S46">vlookup(D46, {Armor!C:C,Armor!H:H}, 2, 0)</f>
        <v>16</v>
      </c>
    </row>
    <row r="47" ht="60.0" customHeight="1">
      <c r="A47" s="31">
        <v>46.0</v>
      </c>
      <c r="B47" s="31" t="s">
        <v>112</v>
      </c>
      <c r="C47" s="31" t="s">
        <v>56</v>
      </c>
      <c r="D47" s="32" t="s">
        <v>115</v>
      </c>
      <c r="E47" s="33" t="str">
        <f t="array" ref="E47">vlookup(D47, {Armor!C:C,Armor!A:A}, 2, 0)</f>
        <v/>
      </c>
      <c r="F47" s="33"/>
      <c r="G47" s="33"/>
      <c r="H47" s="33"/>
      <c r="I47" s="33"/>
      <c r="J47" s="33"/>
      <c r="K47" s="35">
        <f t="array" ref="K47">vlookup(D47, {Armor!C:C,Armor!D:D}, 2, 0)</f>
        <v>2</v>
      </c>
      <c r="L47" s="33" t="str">
        <f t="array" ref="L47">vlookup(D47, {Costs!B:B,Costs!C:C}, 2, 0)</f>
        <v>3 Keese Wing</v>
      </c>
      <c r="M47" s="36">
        <f t="array" ref="M47">vlookup(D47, {Armor!C:C,Armor!E:E}, 2, 0)</f>
        <v>4</v>
      </c>
      <c r="N47" s="33" t="str">
        <f t="array" ref="N47">vlookup(D47, {Costs!B:B,Costs!D:D}, 2, 0)</f>
        <v>6 Aerocuda Eyeball
5 Keese Wing</v>
      </c>
      <c r="O47" s="36">
        <f t="array" ref="O47">vlookup(D47, {Armor!C:C,Armor!F:F}, 2, 0)</f>
        <v>6</v>
      </c>
      <c r="P47" s="33" t="str">
        <f t="array" ref="P47">vlookup(D47, {Costs!B:B,Costs!E:E}, 2, 0)</f>
        <v>6 Aerocuda Wing
8 Aerocuda Eyeball</v>
      </c>
      <c r="Q47" s="36">
        <f t="array" ref="Q47">vlookup(D47, {Armor!C:C,Armor!G:G}, 2, 0)</f>
        <v>9</v>
      </c>
      <c r="R47" s="33" t="str">
        <f t="array" ref="R47">vlookup(D47, {Costs!B:B,Costs!F:F}, 2, 0)</f>
        <v>12 Gleeok Wing
10 Aerocuda Wing
8 Gibdo Wing</v>
      </c>
      <c r="S47" s="32">
        <f t="array" ref="S47">vlookup(D47, {Armor!C:C,Armor!H:H}, 2, 0)</f>
        <v>16</v>
      </c>
    </row>
    <row r="48" ht="60.0" customHeight="1">
      <c r="A48" s="25">
        <v>47.0</v>
      </c>
      <c r="B48" s="25" t="s">
        <v>116</v>
      </c>
      <c r="C48" s="25" t="s">
        <v>60</v>
      </c>
      <c r="D48" s="26" t="s">
        <v>117</v>
      </c>
      <c r="E48" s="27" t="str">
        <f t="array" ref="E48">vlookup(D48, {Armor!C:C,Armor!A:A}, 2, 0)</f>
        <v/>
      </c>
      <c r="F48" s="27"/>
      <c r="G48" s="27"/>
      <c r="H48" s="27"/>
      <c r="I48" s="27"/>
      <c r="J48" s="27"/>
      <c r="K48" s="29">
        <f t="array" ref="K48">vlookup(D48, {Armor!C:C,Armor!D:D}, 2, 0)</f>
        <v>3</v>
      </c>
      <c r="L48" s="27" t="str">
        <f t="array" ref="L48">vlookup(D48, {Costs!B:B,Costs!C:C}, 2, 0)</f>
        <v>3 Deep Firefly</v>
      </c>
      <c r="M48" s="30">
        <f t="array" ref="M48">vlookup(D48, {Armor!C:C,Armor!E:E}, 2, 0)</f>
        <v>5</v>
      </c>
      <c r="N48" s="27" t="str">
        <f t="array" ref="N48">vlookup(D48, {Costs!B:B,Costs!D:D}, 2, 0)</f>
        <v>3 Frox Fang
5 Dark Clump</v>
      </c>
      <c r="O48" s="30">
        <f t="array" ref="O48">vlookup(D48, {Armor!C:C,Armor!F:F}, 2, 0)</f>
        <v>8</v>
      </c>
      <c r="P48" s="27" t="str">
        <f t="array" ref="P48">vlookup(D48, {Costs!B:B,Costs!E:E}, 2, 0)</f>
        <v>3 Obsidian Frox Fang
20 Zonaite
3 Frox Fingernail</v>
      </c>
      <c r="Q48" s="30">
        <f t="array" ref="Q48">vlookup(D48, {Armor!C:C,Armor!G:G}, 2, 0)</f>
        <v>12</v>
      </c>
      <c r="R48" s="27" t="str">
        <f t="array" ref="R48">vlookup(D48, {Costs!B:B,Costs!F:F}, 2, 0)</f>
        <v>5 Blue-White Frox Fang
10 Large Zonaite
3 Frox Guts</v>
      </c>
      <c r="S48" s="26">
        <f t="array" ref="S48">vlookup(D48, {Armor!C:C,Armor!H:H}, 2, 0)</f>
        <v>20</v>
      </c>
    </row>
    <row r="49" ht="60.0" customHeight="1">
      <c r="A49" s="31">
        <v>48.0</v>
      </c>
      <c r="B49" s="31" t="s">
        <v>116</v>
      </c>
      <c r="C49" s="31" t="s">
        <v>53</v>
      </c>
      <c r="D49" s="32" t="s">
        <v>118</v>
      </c>
      <c r="E49" s="33" t="str">
        <f t="array" ref="E49">vlookup(D49, {Armor!C:C,Armor!A:A}, 2, 0)</f>
        <v/>
      </c>
      <c r="F49" s="33"/>
      <c r="G49" s="33"/>
      <c r="H49" s="33"/>
      <c r="I49" s="33"/>
      <c r="J49" s="33"/>
      <c r="K49" s="35">
        <f t="array" ref="K49">vlookup(D49, {Armor!C:C,Armor!D:D}, 2, 0)</f>
        <v>3</v>
      </c>
      <c r="L49" s="33" t="str">
        <f t="array" ref="L49">vlookup(D49, {Costs!B:B,Costs!C:C}, 2, 0)</f>
        <v>3 Deep Firefly</v>
      </c>
      <c r="M49" s="36">
        <f t="array" ref="M49">vlookup(D49, {Armor!C:C,Armor!E:E}, 2, 0)</f>
        <v>5</v>
      </c>
      <c r="N49" s="33" t="str">
        <f t="array" ref="N49">vlookup(D49, {Costs!B:B,Costs!D:D}, 2, 0)</f>
        <v>3 Frox Fang
5 Dark Clump</v>
      </c>
      <c r="O49" s="36">
        <f t="array" ref="O49">vlookup(D49, {Armor!C:C,Armor!F:F}, 2, 0)</f>
        <v>8</v>
      </c>
      <c r="P49" s="33" t="str">
        <f t="array" ref="P49">vlookup(D49, {Costs!B:B,Costs!E:E}, 2, 0)</f>
        <v>3 Obsidian Frox Fang
20 Zonaite
3 Frox Fingernail</v>
      </c>
      <c r="Q49" s="36">
        <f t="array" ref="Q49">vlookup(D49, {Armor!C:C,Armor!G:G}, 2, 0)</f>
        <v>12</v>
      </c>
      <c r="R49" s="33" t="str">
        <f t="array" ref="R49">vlookup(D49, {Costs!B:B,Costs!F:F}, 2, 0)</f>
        <v>5 Blue-White Frox Fang
10 Large Zonaite
3 Frox Guts</v>
      </c>
      <c r="S49" s="32">
        <f t="array" ref="S49">vlookup(D49, {Armor!C:C,Armor!H:H}, 2, 0)</f>
        <v>20</v>
      </c>
    </row>
    <row r="50" ht="60.0" customHeight="1">
      <c r="A50" s="25">
        <v>49.0</v>
      </c>
      <c r="B50" s="25" t="s">
        <v>116</v>
      </c>
      <c r="C50" s="25" t="s">
        <v>56</v>
      </c>
      <c r="D50" s="26" t="s">
        <v>119</v>
      </c>
      <c r="E50" s="27" t="str">
        <f t="array" ref="E50">vlookup(D50, {Armor!C:C,Armor!A:A}, 2, 0)</f>
        <v/>
      </c>
      <c r="F50" s="27"/>
      <c r="G50" s="27"/>
      <c r="H50" s="27"/>
      <c r="I50" s="27"/>
      <c r="J50" s="27"/>
      <c r="K50" s="29">
        <f t="array" ref="K50">vlookup(D50, {Armor!C:C,Armor!D:D}, 2, 0)</f>
        <v>3</v>
      </c>
      <c r="L50" s="27" t="str">
        <f t="array" ref="L50">vlookup(D50, {Costs!B:B,Costs!C:C}, 2, 0)</f>
        <v>3 Deep Firefly</v>
      </c>
      <c r="M50" s="30">
        <f t="array" ref="M50">vlookup(D50, {Armor!C:C,Armor!E:E}, 2, 0)</f>
        <v>5</v>
      </c>
      <c r="N50" s="27" t="str">
        <f t="array" ref="N50">vlookup(D50, {Costs!B:B,Costs!D:D}, 2, 0)</f>
        <v>3 Frox Fang
5 Dark Clump</v>
      </c>
      <c r="O50" s="30">
        <f t="array" ref="O50">vlookup(D50, {Armor!C:C,Armor!F:F}, 2, 0)</f>
        <v>8</v>
      </c>
      <c r="P50" s="27" t="str">
        <f t="array" ref="P50">vlookup(D50, {Costs!B:B,Costs!E:E}, 2, 0)</f>
        <v>3 Obsidian Frox Fang
20 Zonaite
3 Frox Fingernail</v>
      </c>
      <c r="Q50" s="30">
        <f t="array" ref="Q50">vlookup(D50, {Armor!C:C,Armor!G:G}, 2, 0)</f>
        <v>12</v>
      </c>
      <c r="R50" s="27" t="str">
        <f t="array" ref="R50">vlookup(D50, {Costs!B:B,Costs!F:F}, 2, 0)</f>
        <v>5 Blue-White Frox Fang
10 Large Zonaite
3 Frox Guts</v>
      </c>
      <c r="S50" s="26">
        <f t="array" ref="S50">vlookup(D50, {Armor!C:C,Armor!H:H}, 2, 0)</f>
        <v>20</v>
      </c>
    </row>
    <row r="51" ht="60.0" customHeight="1">
      <c r="A51" s="31">
        <v>50.0</v>
      </c>
      <c r="B51" s="31" t="s">
        <v>120</v>
      </c>
      <c r="C51" s="31" t="s">
        <v>60</v>
      </c>
      <c r="D51" s="32" t="s">
        <v>121</v>
      </c>
      <c r="E51" s="33" t="str">
        <f t="array" ref="E51">vlookup(D51, {Armor!C:C,Armor!A:A}, 2, 0)</f>
        <v/>
      </c>
      <c r="F51" s="33"/>
      <c r="G51" s="33"/>
      <c r="H51" s="33"/>
      <c r="I51" s="33"/>
      <c r="J51" s="33"/>
      <c r="K51" s="35">
        <f t="array" ref="K51">vlookup(D51, {Armor!C:C,Armor!D:D}, 2, 0)</f>
        <v>3</v>
      </c>
      <c r="L51" s="33" t="str">
        <f t="array" ref="L51">vlookup(D51, {Costs!B:B,Costs!C:C}, 2, 0)</f>
        <v>10 Brightbloom Seed</v>
      </c>
      <c r="M51" s="36">
        <f t="array" ref="M51">vlookup(D51, {Armor!C:C,Armor!E:E}, 2, 0)</f>
        <v>5</v>
      </c>
      <c r="N51" s="33" t="str">
        <f t="array" ref="N51">vlookup(D51, {Costs!B:B,Costs!D:D}, 2, 0)</f>
        <v>20 Brightbloom Seed
5 Brightcap</v>
      </c>
      <c r="O51" s="36">
        <f t="array" ref="O51">vlookup(D51, {Armor!C:C,Armor!F:F}, 2, 0)</f>
        <v>8</v>
      </c>
      <c r="P51" s="33" t="str">
        <f t="array" ref="P51">vlookup(D51, {Costs!B:B,Costs!E:E}, 2, 0)</f>
        <v>15 Giant Brightbloom Seed
5 Glowing Cave Fish
10 Deep Firefly</v>
      </c>
      <c r="Q51" s="36">
        <f t="array" ref="Q51">vlookup(D51, {Armor!C:C,Armor!G:G}, 2, 0)</f>
        <v>12</v>
      </c>
      <c r="R51" s="33" t="str">
        <f t="array" ref="R51">vlookup(D51, {Costs!B:B,Costs!F:F}, 2, 0)</f>
        <v>20 Giant Brightbloom Seed
3 Diamond
10 Large Zonaite</v>
      </c>
      <c r="S51" s="32">
        <f t="array" ref="S51">vlookup(D51, {Armor!C:C,Armor!H:H}, 2, 0)</f>
        <v>20</v>
      </c>
    </row>
    <row r="52" ht="60.0" customHeight="1">
      <c r="A52" s="25">
        <v>51.0</v>
      </c>
      <c r="B52" s="25" t="s">
        <v>120</v>
      </c>
      <c r="C52" s="25" t="s">
        <v>53</v>
      </c>
      <c r="D52" s="26" t="s">
        <v>122</v>
      </c>
      <c r="E52" s="27" t="str">
        <f t="array" ref="E52">vlookup(D52, {Armor!C:C,Armor!A:A}, 2, 0)</f>
        <v/>
      </c>
      <c r="F52" s="27"/>
      <c r="G52" s="27"/>
      <c r="H52" s="27"/>
      <c r="I52" s="27"/>
      <c r="J52" s="27"/>
      <c r="K52" s="29">
        <f t="array" ref="K52">vlookup(D52, {Armor!C:C,Armor!D:D}, 2, 0)</f>
        <v>3</v>
      </c>
      <c r="L52" s="27" t="str">
        <f t="array" ref="L52">vlookup(D52, {Costs!B:B,Costs!C:C}, 2, 0)</f>
        <v>10 Brightbloom Seed</v>
      </c>
      <c r="M52" s="30">
        <f t="array" ref="M52">vlookup(D52, {Armor!C:C,Armor!E:E}, 2, 0)</f>
        <v>5</v>
      </c>
      <c r="N52" s="27" t="str">
        <f t="array" ref="N52">vlookup(D52, {Costs!B:B,Costs!D:D}, 2, 0)</f>
        <v>20 Brightbloom Seed
5 Brightcap</v>
      </c>
      <c r="O52" s="30">
        <f t="array" ref="O52">vlookup(D52, {Armor!C:C,Armor!F:F}, 2, 0)</f>
        <v>8</v>
      </c>
      <c r="P52" s="27" t="str">
        <f t="array" ref="P52">vlookup(D52, {Costs!B:B,Costs!E:E}, 2, 0)</f>
        <v>15 Giant Brightbloom Seed
5 Glowing Cave Fish
10 Deep Firefly</v>
      </c>
      <c r="Q52" s="30">
        <f t="array" ref="Q52">vlookup(D52, {Armor!C:C,Armor!G:G}, 2, 0)</f>
        <v>12</v>
      </c>
      <c r="R52" s="27" t="str">
        <f t="array" ref="R52">vlookup(D52, {Costs!B:B,Costs!F:F}, 2, 0)</f>
        <v>20 Giant Brightbloom Seed
3 Diamond
10 Large Zonaite</v>
      </c>
      <c r="S52" s="26">
        <f t="array" ref="S52">vlookup(D52, {Armor!C:C,Armor!H:H}, 2, 0)</f>
        <v>20</v>
      </c>
    </row>
    <row r="53" ht="60.0" customHeight="1">
      <c r="A53" s="31">
        <v>52.0</v>
      </c>
      <c r="B53" s="31" t="s">
        <v>120</v>
      </c>
      <c r="C53" s="31" t="s">
        <v>56</v>
      </c>
      <c r="D53" s="32" t="s">
        <v>123</v>
      </c>
      <c r="E53" s="33" t="str">
        <f t="array" ref="E53">vlookup(D53, {Armor!C:C,Armor!A:A}, 2, 0)</f>
        <v/>
      </c>
      <c r="F53" s="33"/>
      <c r="G53" s="33"/>
      <c r="H53" s="33"/>
      <c r="I53" s="33"/>
      <c r="J53" s="33"/>
      <c r="K53" s="35">
        <f t="array" ref="K53">vlookup(D53, {Armor!C:C,Armor!D:D}, 2, 0)</f>
        <v>3</v>
      </c>
      <c r="L53" s="33" t="str">
        <f t="array" ref="L53">vlookup(D53, {Costs!B:B,Costs!C:C}, 2, 0)</f>
        <v>10 Brightbloom Seed</v>
      </c>
      <c r="M53" s="36">
        <f t="array" ref="M53">vlookup(D53, {Armor!C:C,Armor!E:E}, 2, 0)</f>
        <v>5</v>
      </c>
      <c r="N53" s="33" t="str">
        <f t="array" ref="N53">vlookup(D53, {Costs!B:B,Costs!D:D}, 2, 0)</f>
        <v>20 Brightbloom Seed
5 Brightcap</v>
      </c>
      <c r="O53" s="36">
        <f t="array" ref="O53">vlookup(D53, {Armor!C:C,Armor!F:F}, 2, 0)</f>
        <v>8</v>
      </c>
      <c r="P53" s="33" t="str">
        <f t="array" ref="P53">vlookup(D53, {Costs!B:B,Costs!E:E}, 2, 0)</f>
        <v>15 Giant Brightbloom Seed
5 Glowing Cave Fish
10 Deep Firefly</v>
      </c>
      <c r="Q53" s="36">
        <f t="array" ref="Q53">vlookup(D53, {Armor!C:C,Armor!G:G}, 2, 0)</f>
        <v>12</v>
      </c>
      <c r="R53" s="33" t="str">
        <f t="array" ref="R53">vlookup(D53, {Costs!B:B,Costs!F:F}, 2, 0)</f>
        <v>20 Giant Brightbloom Seed
3 Diamond
10 Large Zonaite</v>
      </c>
      <c r="S53" s="32">
        <f t="array" ref="S53">vlookup(D53, {Armor!C:C,Armor!H:H}, 2, 0)</f>
        <v>20</v>
      </c>
    </row>
    <row r="54" ht="60.0" customHeight="1">
      <c r="A54" s="25">
        <v>53.0</v>
      </c>
      <c r="B54" s="25" t="s">
        <v>124</v>
      </c>
      <c r="C54" s="25" t="s">
        <v>60</v>
      </c>
      <c r="D54" s="26" t="s">
        <v>125</v>
      </c>
      <c r="E54" s="27" t="str">
        <f t="array" ref="E54">vlookup(D54, {Armor!C:C,Armor!A:A}, 2, 0)</f>
        <v/>
      </c>
      <c r="F54" s="27"/>
      <c r="G54" s="27" t="s">
        <v>55</v>
      </c>
      <c r="H54" s="27" t="s">
        <v>55</v>
      </c>
      <c r="I54" s="27" t="s">
        <v>55</v>
      </c>
      <c r="J54" s="27" t="s">
        <v>55</v>
      </c>
      <c r="K54" s="29">
        <f t="array" ref="K54">vlookup(D54, {Armor!C:C,Armor!D:D}, 2, 0)</f>
        <v>3</v>
      </c>
      <c r="L54" s="27" t="str">
        <f t="array" ref="L54">vlookup(D54, {Costs!B:B,Costs!C:C}, 2, 0)</f>
        <v>N/A</v>
      </c>
      <c r="M54" s="30" t="str">
        <f t="array" ref="M54">vlookup(D54, {Armor!C:C,Armor!E:E}, 2, 0)</f>
        <v>N/A</v>
      </c>
      <c r="N54" s="27" t="str">
        <f t="array" ref="N54">vlookup(D54, {Costs!B:B,Costs!D:D}, 2, 0)</f>
        <v>N/A</v>
      </c>
      <c r="O54" s="30" t="str">
        <f t="array" ref="O54">vlookup(D54, {Armor!C:C,Armor!F:F}, 2, 0)</f>
        <v>N/A</v>
      </c>
      <c r="P54" s="27" t="str">
        <f t="array" ref="P54">vlookup(D54, {Costs!B:B,Costs!E:E}, 2, 0)</f>
        <v>N/A</v>
      </c>
      <c r="Q54" s="30" t="str">
        <f t="array" ref="Q54">vlookup(D54, {Armor!C:C,Armor!G:G}, 2, 0)</f>
        <v>N/A</v>
      </c>
      <c r="R54" s="27" t="str">
        <f t="array" ref="R54">vlookup(D54, {Costs!B:B,Costs!F:F}, 2, 0)</f>
        <v>N/A</v>
      </c>
      <c r="S54" s="26" t="str">
        <f t="array" ref="S54">vlookup(D54, {Armor!C:C,Armor!H:H}, 2, 0)</f>
        <v>N/A</v>
      </c>
    </row>
    <row r="55" ht="60.0" customHeight="1">
      <c r="A55" s="31">
        <v>54.0</v>
      </c>
      <c r="B55" s="31" t="s">
        <v>124</v>
      </c>
      <c r="C55" s="31" t="s">
        <v>53</v>
      </c>
      <c r="D55" s="32" t="s">
        <v>126</v>
      </c>
      <c r="E55" s="33" t="str">
        <f t="array" ref="E55">vlookup(D55, {Armor!C:C,Armor!A:A}, 2, 0)</f>
        <v/>
      </c>
      <c r="F55" s="33"/>
      <c r="G55" s="33" t="s">
        <v>55</v>
      </c>
      <c r="H55" s="33" t="s">
        <v>55</v>
      </c>
      <c r="I55" s="33" t="s">
        <v>55</v>
      </c>
      <c r="J55" s="33" t="s">
        <v>55</v>
      </c>
      <c r="K55" s="35">
        <f t="array" ref="K55">vlookup(D55, {Armor!C:C,Armor!D:D}, 2, 0)</f>
        <v>3</v>
      </c>
      <c r="L55" s="33" t="str">
        <f t="array" ref="L55">vlookup(D55, {Costs!B:B,Costs!C:C}, 2, 0)</f>
        <v>N/A</v>
      </c>
      <c r="M55" s="36" t="str">
        <f t="array" ref="M55">vlookup(D55, {Armor!C:C,Armor!E:E}, 2, 0)</f>
        <v>N/A</v>
      </c>
      <c r="N55" s="33" t="str">
        <f t="array" ref="N55">vlookup(D55, {Costs!B:B,Costs!D:D}, 2, 0)</f>
        <v>N/A</v>
      </c>
      <c r="O55" s="36" t="str">
        <f t="array" ref="O55">vlookup(D55, {Armor!C:C,Armor!F:F}, 2, 0)</f>
        <v>N/A</v>
      </c>
      <c r="P55" s="33" t="str">
        <f t="array" ref="P55">vlookup(D55, {Costs!B:B,Costs!E:E}, 2, 0)</f>
        <v>N/A</v>
      </c>
      <c r="Q55" s="36" t="str">
        <f t="array" ref="Q55">vlookup(D55, {Armor!C:C,Armor!G:G}, 2, 0)</f>
        <v>N/A</v>
      </c>
      <c r="R55" s="33" t="str">
        <f t="array" ref="R55">vlookup(D55, {Costs!B:B,Costs!F:F}, 2, 0)</f>
        <v>N/A</v>
      </c>
      <c r="S55" s="32" t="str">
        <f t="array" ref="S55">vlookup(D55, {Armor!C:C,Armor!H:H}, 2, 0)</f>
        <v>N/A</v>
      </c>
    </row>
    <row r="56" ht="60.0" customHeight="1">
      <c r="A56" s="25">
        <v>55.0</v>
      </c>
      <c r="B56" s="25" t="s">
        <v>124</v>
      </c>
      <c r="C56" s="25" t="s">
        <v>56</v>
      </c>
      <c r="D56" s="26" t="s">
        <v>127</v>
      </c>
      <c r="E56" s="27" t="str">
        <f t="array" ref="E56">vlookup(D56, {Armor!C:C,Armor!A:A}, 2, 0)</f>
        <v/>
      </c>
      <c r="F56" s="27"/>
      <c r="G56" s="27" t="s">
        <v>55</v>
      </c>
      <c r="H56" s="27" t="s">
        <v>55</v>
      </c>
      <c r="I56" s="27" t="s">
        <v>55</v>
      </c>
      <c r="J56" s="27" t="s">
        <v>55</v>
      </c>
      <c r="K56" s="29">
        <f t="array" ref="K56">vlookup(D56, {Armor!C:C,Armor!D:D}, 2, 0)</f>
        <v>3</v>
      </c>
      <c r="L56" s="27" t="str">
        <f t="array" ref="L56">vlookup(D56, {Costs!B:B,Costs!C:C}, 2, 0)</f>
        <v>N/A</v>
      </c>
      <c r="M56" s="30" t="str">
        <f t="array" ref="M56">vlookup(D56, {Armor!C:C,Armor!E:E}, 2, 0)</f>
        <v>N/A</v>
      </c>
      <c r="N56" s="27" t="str">
        <f t="array" ref="N56">vlookup(D56, {Costs!B:B,Costs!D:D}, 2, 0)</f>
        <v>N/A</v>
      </c>
      <c r="O56" s="30" t="str">
        <f t="array" ref="O56">vlookup(D56, {Armor!C:C,Armor!F:F}, 2, 0)</f>
        <v>N/A</v>
      </c>
      <c r="P56" s="27" t="str">
        <f t="array" ref="P56">vlookup(D56, {Costs!B:B,Costs!E:E}, 2, 0)</f>
        <v>N/A</v>
      </c>
      <c r="Q56" s="30" t="str">
        <f t="array" ref="Q56">vlookup(D56, {Armor!C:C,Armor!G:G}, 2, 0)</f>
        <v>N/A</v>
      </c>
      <c r="R56" s="27" t="str">
        <f t="array" ref="R56">vlookup(D56, {Costs!B:B,Costs!F:F}, 2, 0)</f>
        <v>N/A</v>
      </c>
      <c r="S56" s="26" t="str">
        <f t="array" ref="S56">vlookup(D56, {Armor!C:C,Armor!H:H}, 2, 0)</f>
        <v>N/A</v>
      </c>
    </row>
    <row r="57" ht="60.0" customHeight="1">
      <c r="A57" s="31">
        <v>56.0</v>
      </c>
      <c r="B57" s="31" t="s">
        <v>128</v>
      </c>
      <c r="C57" s="31" t="s">
        <v>60</v>
      </c>
      <c r="D57" s="32" t="s">
        <v>129</v>
      </c>
      <c r="E57" s="33" t="str">
        <f t="array" ref="E57">vlookup(D57, {Armor!C:C,Armor!A:A}, 2, 0)</f>
        <v/>
      </c>
      <c r="F57" s="33"/>
      <c r="G57" s="33"/>
      <c r="H57" s="33"/>
      <c r="I57" s="33"/>
      <c r="J57" s="33"/>
      <c r="K57" s="35">
        <f t="array" ref="K57">vlookup(D57, {Armor!C:C,Armor!D:D}, 2, 0)</f>
        <v>2</v>
      </c>
      <c r="L57" s="33" t="str">
        <f t="array" ref="L57">vlookup(D57, {Costs!B:B,Costs!C:C}, 2, 0)</f>
        <v>3 Fire Fruit</v>
      </c>
      <c r="M57" s="36">
        <f t="array" ref="M57">vlookup(D57, {Armor!C:C,Armor!E:E}, 2, 0)</f>
        <v>4</v>
      </c>
      <c r="N57" s="33" t="str">
        <f t="array" ref="N57">vlookup(D57, {Costs!B:B,Costs!D:D}, 2, 0)</f>
        <v>5 Fire-Breath Lizalfos Horn
5 Summerwing Butterfly</v>
      </c>
      <c r="O57" s="36">
        <f t="array" ref="O57">vlookup(D57, {Armor!C:C,Armor!F:F}, 2, 0)</f>
        <v>6</v>
      </c>
      <c r="P57" s="33" t="str">
        <f t="array" ref="P57">vlookup(D57, {Costs!B:B,Costs!E:E}, 2, 0)</f>
        <v>5 Fire Like Stone
5 Warm Darner
5 Large Zonai Charge</v>
      </c>
      <c r="Q57" s="36">
        <f t="array" ref="Q57">vlookup(D57, {Armor!C:C,Armor!G:G}, 2, 0)</f>
        <v>9</v>
      </c>
      <c r="R57" s="33" t="str">
        <f t="array" ref="R57">vlookup(D57, {Costs!B:B,Costs!F:F}, 2, 0)</f>
        <v>5 Gleeok Flame Horn
10 Sizzlefin Trout
10 Large Zonai Charge</v>
      </c>
      <c r="S57" s="32">
        <f t="array" ref="S57">vlookup(D57, {Armor!C:C,Armor!H:H}, 2, 0)</f>
        <v>16</v>
      </c>
    </row>
    <row r="58" ht="60.0" customHeight="1">
      <c r="A58" s="25">
        <v>57.0</v>
      </c>
      <c r="B58" s="25" t="s">
        <v>128</v>
      </c>
      <c r="C58" s="25" t="s">
        <v>53</v>
      </c>
      <c r="D58" s="26" t="s">
        <v>130</v>
      </c>
      <c r="E58" s="27" t="str">
        <f t="array" ref="E58">vlookup(D58, {Armor!C:C,Armor!A:A}, 2, 0)</f>
        <v/>
      </c>
      <c r="F58" s="27"/>
      <c r="G58" s="27"/>
      <c r="H58" s="27"/>
      <c r="I58" s="27"/>
      <c r="J58" s="27"/>
      <c r="K58" s="29">
        <f t="array" ref="K58">vlookup(D58, {Armor!C:C,Armor!D:D}, 2, 0)</f>
        <v>2</v>
      </c>
      <c r="L58" s="27" t="str">
        <f t="array" ref="L58">vlookup(D58, {Costs!B:B,Costs!C:C}, 2, 0)</f>
        <v>3 Fire Fruit</v>
      </c>
      <c r="M58" s="30">
        <f t="array" ref="M58">vlookup(D58, {Armor!C:C,Armor!E:E}, 2, 0)</f>
        <v>4</v>
      </c>
      <c r="N58" s="27" t="str">
        <f t="array" ref="N58">vlookup(D58, {Costs!B:B,Costs!D:D}, 2, 0)</f>
        <v>5 Fire-Breath Lizalfos Horn
5 Summerwing Butterfly</v>
      </c>
      <c r="O58" s="30">
        <f t="array" ref="O58">vlookup(D58, {Armor!C:C,Armor!F:F}, 2, 0)</f>
        <v>6</v>
      </c>
      <c r="P58" s="27" t="str">
        <f t="array" ref="P58">vlookup(D58, {Costs!B:B,Costs!E:E}, 2, 0)</f>
        <v>5 Fire Like Stone
5 Warm Darner
5 Large Zonai Charge
</v>
      </c>
      <c r="Q58" s="30">
        <f t="array" ref="Q58">vlookup(D58, {Armor!C:C,Armor!G:G}, 2, 0)</f>
        <v>9</v>
      </c>
      <c r="R58" s="27" t="str">
        <f t="array" ref="R58">vlookup(D58, {Costs!B:B,Costs!F:F}, 2, 0)</f>
        <v>5 Gleeok Flame Horn
10 Sizzlefin Trout
10 Large Zonai Charge</v>
      </c>
      <c r="S58" s="26">
        <f t="array" ref="S58">vlookup(D58, {Armor!C:C,Armor!H:H}, 2, 0)</f>
        <v>16</v>
      </c>
    </row>
    <row r="59" ht="60.0" customHeight="1">
      <c r="A59" s="31">
        <v>58.0</v>
      </c>
      <c r="B59" s="31" t="s">
        <v>128</v>
      </c>
      <c r="C59" s="31" t="s">
        <v>56</v>
      </c>
      <c r="D59" s="32" t="s">
        <v>131</v>
      </c>
      <c r="E59" s="33" t="str">
        <f t="array" ref="E59">vlookup(D59, {Armor!C:C,Armor!A:A}, 2, 0)</f>
        <v/>
      </c>
      <c r="F59" s="33"/>
      <c r="G59" s="33"/>
      <c r="H59" s="33"/>
      <c r="I59" s="33"/>
      <c r="J59" s="33"/>
      <c r="K59" s="35">
        <f t="array" ref="K59">vlookup(D59, {Armor!C:C,Armor!D:D}, 2, 0)</f>
        <v>2</v>
      </c>
      <c r="L59" s="33" t="str">
        <f t="array" ref="L59">vlookup(D59, {Costs!B:B,Costs!C:C}, 2, 0)</f>
        <v>3 Fire Fruit</v>
      </c>
      <c r="M59" s="36">
        <f t="array" ref="M59">vlookup(D59, {Armor!C:C,Armor!E:E}, 2, 0)</f>
        <v>4</v>
      </c>
      <c r="N59" s="33" t="str">
        <f t="array" ref="N59">vlookup(D59, {Costs!B:B,Costs!D:D}, 2, 0)</f>
        <v>5 Fire-Breath Lizalfos Horn
5 Summerwing Butterfly</v>
      </c>
      <c r="O59" s="36">
        <f t="array" ref="O59">vlookup(D59, {Armor!C:C,Armor!F:F}, 2, 0)</f>
        <v>6</v>
      </c>
      <c r="P59" s="33" t="str">
        <f t="array" ref="P59">vlookup(D59, {Costs!B:B,Costs!E:E}, 2, 0)</f>
        <v>5 Fire Like Stone
5 Warm Darner
5 Large Zonai Charge
</v>
      </c>
      <c r="Q59" s="36">
        <f t="array" ref="Q59">vlookup(D59, {Armor!C:C,Armor!G:G}, 2, 0)</f>
        <v>9</v>
      </c>
      <c r="R59" s="33" t="str">
        <f t="array" ref="R59">vlookup(D59, {Costs!B:B,Costs!F:F}, 2, 0)</f>
        <v>5 Gleeok Flame Horn
10 Sizzlefin Trout
10 Large Zonai Charge</v>
      </c>
      <c r="S59" s="32">
        <f t="array" ref="S59">vlookup(D59, {Armor!C:C,Armor!H:H}, 2, 0)</f>
        <v>16</v>
      </c>
    </row>
    <row r="60" ht="60.0" customHeight="1">
      <c r="A60" s="25">
        <v>59.0</v>
      </c>
      <c r="B60" s="25" t="s">
        <v>132</v>
      </c>
      <c r="C60" s="25" t="s">
        <v>60</v>
      </c>
      <c r="D60" s="26" t="s">
        <v>133</v>
      </c>
      <c r="E60" s="27" t="str">
        <f t="array" ref="E60">vlookup(D60, {Armor!C:C,Armor!A:A}, 2, 0)</f>
        <v/>
      </c>
      <c r="F60" s="27"/>
      <c r="G60" s="27"/>
      <c r="H60" s="27"/>
      <c r="I60" s="27"/>
      <c r="J60" s="27"/>
      <c r="K60" s="29">
        <f t="array" ref="K60">vlookup(D60, {Armor!C:C,Armor!D:D}, 2, 0)</f>
        <v>3</v>
      </c>
      <c r="L60" s="27" t="str">
        <f t="array" ref="L60">vlookup(D60, {Costs!B:B,Costs!C:C}, 2, 0)</f>
        <v>3 Shock Fruit</v>
      </c>
      <c r="M60" s="30">
        <f t="array" ref="M60">vlookup(D60, {Armor!C:C,Armor!E:E}, 2, 0)</f>
        <v>5</v>
      </c>
      <c r="N60" s="27" t="str">
        <f t="array" ref="N60">vlookup(D60, {Costs!B:B,Costs!D:D}, 2, 0)</f>
        <v>5 Electric Lizalfos Horn
3 Thunderwing Butterfly</v>
      </c>
      <c r="O60" s="30">
        <f t="array" ref="O60">vlookup(D60, {Armor!C:C,Armor!F:F}, 2, 0)</f>
        <v>8</v>
      </c>
      <c r="P60" s="27" t="str">
        <f t="array" ref="P60">vlookup(D60, {Costs!B:B,Costs!E:E}, 2, 0)</f>
        <v>5 Shock Like Stone
5 Electric Darner
3 Large Zonai Charge</v>
      </c>
      <c r="Q60" s="30">
        <f t="array" ref="Q60">vlookup(D60, {Armor!C:C,Armor!G:G}, 2, 0)</f>
        <v>12</v>
      </c>
      <c r="R60" s="27" t="str">
        <f t="array" ref="R60">vlookup(D60, {Costs!B:B,Costs!F:F}, 2, 0)</f>
        <v>5 Gleeok Thunder Horn
10 Voltfin Trout
5 Large Zonai Charge</v>
      </c>
      <c r="S60" s="26">
        <f t="array" ref="S60">vlookup(D60, {Armor!C:C,Armor!H:H}, 2, 0)</f>
        <v>20</v>
      </c>
    </row>
    <row r="61" ht="60.0" customHeight="1">
      <c r="A61" s="31">
        <v>60.0</v>
      </c>
      <c r="B61" s="31" t="s">
        <v>132</v>
      </c>
      <c r="C61" s="31" t="s">
        <v>53</v>
      </c>
      <c r="D61" s="32" t="s">
        <v>134</v>
      </c>
      <c r="E61" s="33" t="str">
        <f t="array" ref="E61">vlookup(D61, {Armor!C:C,Armor!A:A}, 2, 0)</f>
        <v/>
      </c>
      <c r="F61" s="33"/>
      <c r="G61" s="33"/>
      <c r="H61" s="33"/>
      <c r="I61" s="33"/>
      <c r="J61" s="33"/>
      <c r="K61" s="35">
        <f t="array" ref="K61">vlookup(D61, {Armor!C:C,Armor!D:D}, 2, 0)</f>
        <v>3</v>
      </c>
      <c r="L61" s="33" t="str">
        <f t="array" ref="L61">vlookup(D61, {Costs!B:B,Costs!C:C}, 2, 0)</f>
        <v>3 Shock Fruit</v>
      </c>
      <c r="M61" s="36">
        <f t="array" ref="M61">vlookup(D61, {Armor!C:C,Armor!E:E}, 2, 0)</f>
        <v>5</v>
      </c>
      <c r="N61" s="33" t="str">
        <f t="array" ref="N61">vlookup(D61, {Costs!B:B,Costs!D:D}, 2, 0)</f>
        <v>5 Electric Lizalfos Horn
3 Thunderwing Butterfly</v>
      </c>
      <c r="O61" s="36">
        <f t="array" ref="O61">vlookup(D61, {Armor!C:C,Armor!F:F}, 2, 0)</f>
        <v>8</v>
      </c>
      <c r="P61" s="33" t="str">
        <f t="array" ref="P61">vlookup(D61, {Costs!B:B,Costs!E:E}, 2, 0)</f>
        <v>5 Shock Like Stone
5 Electric Darner
3 Large Zonai Charge</v>
      </c>
      <c r="Q61" s="36">
        <f t="array" ref="Q61">vlookup(D61, {Armor!C:C,Armor!G:G}, 2, 0)</f>
        <v>12</v>
      </c>
      <c r="R61" s="33" t="str">
        <f t="array" ref="R61">vlookup(D61, {Costs!B:B,Costs!F:F}, 2, 0)</f>
        <v>5 Gleeok Thunder Horn
10 Voltfin Trout
5 Large Zonai Charge</v>
      </c>
      <c r="S61" s="32">
        <f t="array" ref="S61">vlookup(D61, {Armor!C:C,Armor!H:H}, 2, 0)</f>
        <v>20</v>
      </c>
    </row>
    <row r="62" ht="60.0" customHeight="1">
      <c r="A62" s="25">
        <v>61.0</v>
      </c>
      <c r="B62" s="25" t="s">
        <v>132</v>
      </c>
      <c r="C62" s="25" t="s">
        <v>56</v>
      </c>
      <c r="D62" s="26" t="s">
        <v>135</v>
      </c>
      <c r="E62" s="27" t="str">
        <f t="array" ref="E62">vlookup(D62, {Armor!C:C,Armor!A:A}, 2, 0)</f>
        <v/>
      </c>
      <c r="F62" s="27"/>
      <c r="G62" s="27"/>
      <c r="H62" s="27"/>
      <c r="I62" s="27"/>
      <c r="J62" s="27"/>
      <c r="K62" s="29">
        <f t="array" ref="K62">vlookup(D62, {Armor!C:C,Armor!D:D}, 2, 0)</f>
        <v>3</v>
      </c>
      <c r="L62" s="27" t="str">
        <f t="array" ref="L62">vlookup(D62, {Costs!B:B,Costs!C:C}, 2, 0)</f>
        <v>3 Shock Fruit</v>
      </c>
      <c r="M62" s="30">
        <f t="array" ref="M62">vlookup(D62, {Armor!C:C,Armor!E:E}, 2, 0)</f>
        <v>5</v>
      </c>
      <c r="N62" s="27" t="str">
        <f t="array" ref="N62">vlookup(D62, {Costs!B:B,Costs!D:D}, 2, 0)</f>
        <v>5 Electric Lizalfos Horn
3 Thunderwing Butterfly</v>
      </c>
      <c r="O62" s="30">
        <f t="array" ref="O62">vlookup(D62, {Armor!C:C,Armor!F:F}, 2, 0)</f>
        <v>8</v>
      </c>
      <c r="P62" s="27" t="str">
        <f t="array" ref="P62">vlookup(D62, {Costs!B:B,Costs!E:E}, 2, 0)</f>
        <v>5 Shock Like Stone
5 Electric Darner
3 Large Zonai Charge</v>
      </c>
      <c r="Q62" s="30">
        <f t="array" ref="Q62">vlookup(D62, {Armor!C:C,Armor!G:G}, 2, 0)</f>
        <v>12</v>
      </c>
      <c r="R62" s="27" t="str">
        <f t="array" ref="R62">vlookup(D62, {Costs!B:B,Costs!F:F}, 2, 0)</f>
        <v>5 Gleeok Thunder Horn
10 Voltfin Trout
5 Large Zonai Charge</v>
      </c>
      <c r="S62" s="26">
        <f t="array" ref="S62">vlookup(D62, {Armor!C:C,Armor!H:H}, 2, 0)</f>
        <v>20</v>
      </c>
    </row>
    <row r="63" ht="60.0" customHeight="1">
      <c r="A63" s="31">
        <v>62.0</v>
      </c>
      <c r="B63" s="31" t="s">
        <v>136</v>
      </c>
      <c r="C63" s="31" t="s">
        <v>60</v>
      </c>
      <c r="D63" s="32" t="s">
        <v>137</v>
      </c>
      <c r="E63" s="33" t="str">
        <f t="array" ref="E63">vlookup(D63, {Armor!C:C,Armor!A:A}, 2, 0)</f>
        <v/>
      </c>
      <c r="F63" s="33"/>
      <c r="G63" s="33"/>
      <c r="H63" s="33"/>
      <c r="I63" s="33"/>
      <c r="J63" s="33"/>
      <c r="K63" s="35">
        <f t="array" ref="K63">vlookup(D63, {Armor!C:C,Armor!D:D}, 2, 0)</f>
        <v>2</v>
      </c>
      <c r="L63" s="33" t="str">
        <f t="array" ref="L63">vlookup(D63, {Costs!B:B,Costs!C:C}, 2, 0)</f>
        <v>3 Ice Fruit</v>
      </c>
      <c r="M63" s="36">
        <f t="array" ref="M63">vlookup(D63, {Armor!C:C,Armor!E:E}, 2, 0)</f>
        <v>4</v>
      </c>
      <c r="N63" s="33" t="str">
        <f t="array" ref="N63">vlookup(D63, {Costs!B:B,Costs!D:D}, 2, 0)</f>
        <v>5 Ice-Breath Lizalfos Horn
5 Winterwing Butterfly</v>
      </c>
      <c r="O63" s="36">
        <f t="array" ref="O63">vlookup(D63, {Armor!C:C,Armor!F:F}, 2, 0)</f>
        <v>6</v>
      </c>
      <c r="P63" s="33" t="str">
        <f t="array" ref="P63">vlookup(D63, {Costs!B:B,Costs!E:E}, 2, 0)</f>
        <v>5 Ice Like Stone
5 Cold Darner
5 Large Zonai Charge</v>
      </c>
      <c r="Q63" s="36">
        <f t="array" ref="Q63">vlookup(D63, {Armor!C:C,Armor!G:G}, 2, 0)</f>
        <v>9</v>
      </c>
      <c r="R63" s="33" t="str">
        <f t="array" ref="R63">vlookup(D63, {Costs!B:B,Costs!F:F}, 2, 0)</f>
        <v>5 Gleeok Frost Horn
10 Chillfin Trout
10 Large Zonai Charge</v>
      </c>
      <c r="S63" s="32">
        <f t="array" ref="S63">vlookup(D63, {Armor!C:C,Armor!H:H}, 2, 0)</f>
        <v>16</v>
      </c>
    </row>
    <row r="64" ht="60.0" customHeight="1">
      <c r="A64" s="25">
        <v>63.0</v>
      </c>
      <c r="B64" s="25" t="s">
        <v>136</v>
      </c>
      <c r="C64" s="25" t="s">
        <v>53</v>
      </c>
      <c r="D64" s="26" t="s">
        <v>138</v>
      </c>
      <c r="E64" s="27" t="str">
        <f t="array" ref="E64">vlookup(D64, {Armor!C:C,Armor!A:A}, 2, 0)</f>
        <v/>
      </c>
      <c r="F64" s="27"/>
      <c r="G64" s="27"/>
      <c r="H64" s="27"/>
      <c r="I64" s="27"/>
      <c r="J64" s="27"/>
      <c r="K64" s="29">
        <f t="array" ref="K64">vlookup(D64, {Armor!C:C,Armor!D:D}, 2, 0)</f>
        <v>2</v>
      </c>
      <c r="L64" s="27" t="str">
        <f t="array" ref="L64">vlookup(D64, {Costs!B:B,Costs!C:C}, 2, 0)</f>
        <v>3 Ice Fruit</v>
      </c>
      <c r="M64" s="30">
        <f t="array" ref="M64">vlookup(D64, {Armor!C:C,Armor!E:E}, 2, 0)</f>
        <v>4</v>
      </c>
      <c r="N64" s="27" t="str">
        <f t="array" ref="N64">vlookup(D64, {Costs!B:B,Costs!D:D}, 2, 0)</f>
        <v>5 Ice-Breath Lizalfos Horn
5 Winterwing Butterfly</v>
      </c>
      <c r="O64" s="30">
        <f t="array" ref="O64">vlookup(D64, {Armor!C:C,Armor!F:F}, 2, 0)</f>
        <v>6</v>
      </c>
      <c r="P64" s="27" t="str">
        <f t="array" ref="P64">vlookup(D64, {Costs!B:B,Costs!E:E}, 2, 0)</f>
        <v>5 Ice Like Stone
5 Cold Darner
5 Large Zonai Charge</v>
      </c>
      <c r="Q64" s="30">
        <f t="array" ref="Q64">vlookup(D64, {Armor!C:C,Armor!G:G}, 2, 0)</f>
        <v>9</v>
      </c>
      <c r="R64" s="27" t="str">
        <f t="array" ref="R64">vlookup(D64, {Costs!B:B,Costs!F:F}, 2, 0)</f>
        <v>5 Gleeok Frost Horn
10 Chillfin Trout
10 Large Zonai Charge</v>
      </c>
      <c r="S64" s="26">
        <f t="array" ref="S64">vlookup(D64, {Armor!C:C,Armor!H:H}, 2, 0)</f>
        <v>16</v>
      </c>
    </row>
    <row r="65" ht="60.0" customHeight="1">
      <c r="A65" s="31">
        <v>64.0</v>
      </c>
      <c r="B65" s="31" t="s">
        <v>136</v>
      </c>
      <c r="C65" s="31" t="s">
        <v>56</v>
      </c>
      <c r="D65" s="32" t="s">
        <v>139</v>
      </c>
      <c r="E65" s="33" t="str">
        <f t="array" ref="E65">vlookup(D65, {Armor!C:C,Armor!A:A}, 2, 0)</f>
        <v/>
      </c>
      <c r="F65" s="33"/>
      <c r="G65" s="33"/>
      <c r="H65" s="33"/>
      <c r="I65" s="33"/>
      <c r="J65" s="33"/>
      <c r="K65" s="35">
        <f t="array" ref="K65">vlookup(D65, {Armor!C:C,Armor!D:D}, 2, 0)</f>
        <v>2</v>
      </c>
      <c r="L65" s="33" t="str">
        <f t="array" ref="L65">vlookup(D65, {Costs!B:B,Costs!C:C}, 2, 0)</f>
        <v>3 Ice Fruit</v>
      </c>
      <c r="M65" s="36">
        <f t="array" ref="M65">vlookup(D65, {Armor!C:C,Armor!E:E}, 2, 0)</f>
        <v>4</v>
      </c>
      <c r="N65" s="33" t="str">
        <f t="array" ref="N65">vlookup(D65, {Costs!B:B,Costs!D:D}, 2, 0)</f>
        <v>5 Ice-Breath Lizalfos Horn
5 Winterwing Butterfly</v>
      </c>
      <c r="O65" s="36">
        <f t="array" ref="O65">vlookup(D65, {Armor!C:C,Armor!F:F}, 2, 0)</f>
        <v>6</v>
      </c>
      <c r="P65" s="33" t="str">
        <f t="array" ref="P65">vlookup(D65, {Costs!B:B,Costs!E:E}, 2, 0)</f>
        <v>5 Ice Like Stone
5 Cold Darner
5 Large Zonai Charge</v>
      </c>
      <c r="Q65" s="36">
        <f t="array" ref="Q65">vlookup(D65, {Armor!C:C,Armor!G:G}, 2, 0)</f>
        <v>9</v>
      </c>
      <c r="R65" s="33" t="str">
        <f t="array" ref="R65">vlookup(D65, {Costs!B:B,Costs!F:F}, 2, 0)</f>
        <v>5 Gleeok Frost Horn
10 Chillfin Trout
10 Large Zonai Charge</v>
      </c>
      <c r="S65" s="32">
        <f t="array" ref="S65">vlookup(D65, {Armor!C:C,Armor!H:H}, 2, 0)</f>
        <v>16</v>
      </c>
    </row>
    <row r="66" ht="60.0" customHeight="1">
      <c r="A66" s="25">
        <v>65.0</v>
      </c>
      <c r="B66" s="25" t="s">
        <v>140</v>
      </c>
      <c r="C66" s="25" t="s">
        <v>60</v>
      </c>
      <c r="D66" s="26" t="s">
        <v>141</v>
      </c>
      <c r="E66" s="27" t="str">
        <f t="array" ref="E66">vlookup(D66, {Armor!C:C,Armor!A:A}, 2, 0)</f>
        <v/>
      </c>
      <c r="F66" s="27"/>
      <c r="G66" s="27"/>
      <c r="H66" s="27"/>
      <c r="I66" s="27"/>
      <c r="J66" s="27"/>
      <c r="K66" s="29">
        <f t="array" ref="K66">vlookup(D66, {Armor!C:C,Armor!D:D}, 2, 0)</f>
        <v>1</v>
      </c>
      <c r="L66" s="27" t="str">
        <f t="array" ref="L66">vlookup(D66, {Costs!B:B,Costs!C:C}, 2, 0)</f>
        <v>2 Octorok Eyeball</v>
      </c>
      <c r="M66" s="30">
        <f t="array" ref="M66">vlookup(D66, {Armor!C:C,Armor!E:E}, 2, 0)</f>
        <v>3</v>
      </c>
      <c r="N66" s="27" t="str">
        <f t="array" ref="N66">vlookup(D66, {Costs!B:B,Costs!D:D}, 2, 0)</f>
        <v>3 Fire-Breath Lizalfos Tail
3 Puffshroom</v>
      </c>
      <c r="O66" s="30">
        <f t="array" ref="O66">vlookup(D66, {Armor!C:C,Armor!F:F}, 2, 0)</f>
        <v>5</v>
      </c>
      <c r="P66" s="27" t="str">
        <f t="array" ref="P66">vlookup(D66, {Costs!B:B,Costs!E:E}, 2, 0)</f>
        <v>5 Ice-Breath Lizalfos Tail
5 Keese Eyeball</v>
      </c>
      <c r="Q66" s="30">
        <f t="array" ref="Q66">vlookup(D66, {Armor!C:C,Armor!G:G}, 2, 0)</f>
        <v>7</v>
      </c>
      <c r="R66" s="27" t="str">
        <f t="array" ref="R66">vlookup(D66, {Costs!B:B,Costs!F:F}, 2, 0)</f>
        <v>5 Electric Lizalfos Tail
3 Black Hinox Horn
10 Mighty Bananas</v>
      </c>
      <c r="S66" s="26">
        <f t="array" ref="S66">vlookup(D66, {Armor!C:C,Armor!H:H}, 2, 0)</f>
        <v>12</v>
      </c>
    </row>
    <row r="67" ht="60.0" customHeight="1">
      <c r="A67" s="31">
        <v>66.0</v>
      </c>
      <c r="B67" s="31" t="s">
        <v>140</v>
      </c>
      <c r="C67" s="31" t="s">
        <v>53</v>
      </c>
      <c r="D67" s="32" t="s">
        <v>142</v>
      </c>
      <c r="E67" s="33" t="str">
        <f t="array" ref="E67">vlookup(D67, {Armor!C:C,Armor!A:A}, 2, 0)</f>
        <v/>
      </c>
      <c r="F67" s="33"/>
      <c r="G67" s="33"/>
      <c r="H67" s="33"/>
      <c r="I67" s="33"/>
      <c r="J67" s="33"/>
      <c r="K67" s="35">
        <f t="array" ref="K67">vlookup(D67, {Armor!C:C,Armor!D:D}, 2, 0)</f>
        <v>1</v>
      </c>
      <c r="L67" s="33" t="str">
        <f t="array" ref="L67">vlookup(D67, {Costs!B:B,Costs!C:C}, 2, 0)</f>
        <v>2 Octorok Eyeball</v>
      </c>
      <c r="M67" s="36">
        <f t="array" ref="M67">vlookup(D67, {Armor!C:C,Armor!E:E}, 2, 0)</f>
        <v>3</v>
      </c>
      <c r="N67" s="33" t="str">
        <f t="array" ref="N67">vlookup(D67, {Costs!B:B,Costs!D:D}, 2, 0)</f>
        <v>3 Fire-Breath Lizalfos Tail
3 Puffshroom</v>
      </c>
      <c r="O67" s="36">
        <f t="array" ref="O67">vlookup(D67, {Armor!C:C,Armor!F:F}, 2, 0)</f>
        <v>5</v>
      </c>
      <c r="P67" s="33" t="str">
        <f t="array" ref="P67">vlookup(D67, {Costs!B:B,Costs!E:E}, 2, 0)</f>
        <v>5 Ice-Breath Lizalfos Tail
5 Keese Eyeball</v>
      </c>
      <c r="Q67" s="36">
        <f t="array" ref="Q67">vlookup(D67, {Armor!C:C,Armor!G:G}, 2, 0)</f>
        <v>7</v>
      </c>
      <c r="R67" s="33" t="str">
        <f t="array" ref="R67">vlookup(D67, {Costs!B:B,Costs!F:F}, 2, 0)</f>
        <v>5 Electric Lizalfos Tail
3 Black Hinox Horn
10 Mighty Bananas</v>
      </c>
      <c r="S67" s="32">
        <f t="array" ref="S67">vlookup(D67, {Armor!C:C,Armor!H:H}, 2, 0)</f>
        <v>12</v>
      </c>
    </row>
    <row r="68" ht="60.0" customHeight="1">
      <c r="A68" s="25">
        <v>67.0</v>
      </c>
      <c r="B68" s="25" t="s">
        <v>140</v>
      </c>
      <c r="C68" s="25" t="s">
        <v>56</v>
      </c>
      <c r="D68" s="26" t="s">
        <v>143</v>
      </c>
      <c r="E68" s="27" t="str">
        <f t="array" ref="E68">vlookup(D68, {Armor!C:C,Armor!A:A}, 2, 0)</f>
        <v/>
      </c>
      <c r="F68" s="27"/>
      <c r="G68" s="27"/>
      <c r="H68" s="27"/>
      <c r="I68" s="27"/>
      <c r="J68" s="27"/>
      <c r="K68" s="29">
        <f t="array" ref="K68">vlookup(D68, {Armor!C:C,Armor!D:D}, 2, 0)</f>
        <v>1</v>
      </c>
      <c r="L68" s="27" t="str">
        <f t="array" ref="L68">vlookup(D68, {Costs!B:B,Costs!C:C}, 2, 0)</f>
        <v>2 Octorok Eyeball</v>
      </c>
      <c r="M68" s="30">
        <f t="array" ref="M68">vlookup(D68, {Armor!C:C,Armor!E:E}, 2, 0)</f>
        <v>3</v>
      </c>
      <c r="N68" s="27" t="str">
        <f t="array" ref="N68">vlookup(D68, {Costs!B:B,Costs!D:D}, 2, 0)</f>
        <v>3 Fire-Breath Lizalfos Tail
3 Puffshroom</v>
      </c>
      <c r="O68" s="30">
        <f t="array" ref="O68">vlookup(D68, {Armor!C:C,Armor!F:F}, 2, 0)</f>
        <v>5</v>
      </c>
      <c r="P68" s="27" t="str">
        <f t="array" ref="P68">vlookup(D68, {Costs!B:B,Costs!E:E}, 2, 0)</f>
        <v>5 Ice-Breath Lizalfos Tail
5 Keese Eyeball</v>
      </c>
      <c r="Q68" s="30">
        <f t="array" ref="Q68">vlookup(D68, {Armor!C:C,Armor!G:G}, 2, 0)</f>
        <v>7</v>
      </c>
      <c r="R68" s="27" t="str">
        <f t="array" ref="R68">vlookup(D68, {Costs!B:B,Costs!F:F}, 2, 0)</f>
        <v>5 Electric Lizalfos Tail
3 Black Hinox Horn
10 Mighty Bananas</v>
      </c>
      <c r="S68" s="26">
        <f t="array" ref="S68">vlookup(D68, {Armor!C:C,Armor!H:H}, 2, 0)</f>
        <v>12</v>
      </c>
    </row>
    <row r="69" ht="60.0" customHeight="1">
      <c r="A69" s="31">
        <v>68.0</v>
      </c>
      <c r="B69" s="31" t="s">
        <v>55</v>
      </c>
      <c r="C69" s="31" t="s">
        <v>60</v>
      </c>
      <c r="D69" s="32" t="s">
        <v>144</v>
      </c>
      <c r="E69" s="33" t="str">
        <f t="array" ref="E69">vlookup(D69, {Armor!C:C,Armor!A:A}, 2, 0)</f>
        <v/>
      </c>
      <c r="F69" s="33"/>
      <c r="G69" s="33"/>
      <c r="H69" s="33"/>
      <c r="I69" s="33"/>
      <c r="J69" s="33"/>
      <c r="K69" s="35">
        <f t="array" ref="K69">vlookup(D69, {Armor!C:C,Armor!D:D}, 2, 0)</f>
        <v>2</v>
      </c>
      <c r="L69" s="33" t="str">
        <f t="array" ref="L69">vlookup(D69, {Costs!B:B,Costs!C:C}, 2, 0)</f>
        <v>1 Ruby
5 Zonaite</v>
      </c>
      <c r="M69" s="36">
        <f t="array" ref="M69">vlookup(D69, {Armor!C:C,Armor!E:E}, 2, 0)</f>
        <v>4</v>
      </c>
      <c r="N69" s="33" t="str">
        <f t="array" ref="N69">vlookup(D69, {Costs!B:B,Costs!D:D}, 2, 0)</f>
        <v>4 Ruby
10 Zonaite</v>
      </c>
      <c r="O69" s="36">
        <f t="array" ref="O69">vlookup(D69, {Armor!C:C,Armor!F:F}, 2, 0)</f>
        <v>6</v>
      </c>
      <c r="P69" s="33" t="str">
        <f t="array" ref="P69">vlookup(D69, {Costs!B:B,Costs!E:E}, 2, 0)</f>
        <v>6 Ruby
5 Large Zonaite
5 Dazzlefruit</v>
      </c>
      <c r="Q69" s="36">
        <f t="array" ref="Q69">vlookup(D69, {Armor!C:C,Armor!G:G}, 2, 0)</f>
        <v>9</v>
      </c>
      <c r="R69" s="33" t="str">
        <f t="array" ref="R69">vlookup(D69, {Costs!B:B,Costs!F:F}, 2, 0)</f>
        <v>10 Ruby
10 Large Zonaite
10 Dazzlefruit</v>
      </c>
      <c r="S69" s="32">
        <f t="array" ref="S69">vlookup(D69, {Armor!C:C,Armor!H:H}, 2, 0)</f>
        <v>16</v>
      </c>
    </row>
    <row r="70" ht="60.0" customHeight="1">
      <c r="A70" s="25">
        <v>69.0</v>
      </c>
      <c r="B70" s="25" t="s">
        <v>55</v>
      </c>
      <c r="C70" s="25" t="s">
        <v>60</v>
      </c>
      <c r="D70" s="26" t="s">
        <v>145</v>
      </c>
      <c r="E70" s="27" t="str">
        <f t="array" ref="E70">vlookup(D70, {Armor!C:C,Armor!A:A}, 2, 0)</f>
        <v/>
      </c>
      <c r="F70" s="27"/>
      <c r="G70" s="27"/>
      <c r="H70" s="27"/>
      <c r="I70" s="27"/>
      <c r="J70" s="27"/>
      <c r="K70" s="29">
        <f t="array" ref="K70">vlookup(D70, {Armor!C:C,Armor!D:D}, 2, 0)</f>
        <v>2</v>
      </c>
      <c r="L70" s="27" t="str">
        <f t="array" ref="L70">vlookup(D70, {Costs!B:B,Costs!C:C}, 2, 0)</f>
        <v>1 Sapphire
5 Zonaite</v>
      </c>
      <c r="M70" s="30">
        <f t="array" ref="M70">vlookup(D70, {Armor!C:C,Armor!E:E}, 2, 0)</f>
        <v>4</v>
      </c>
      <c r="N70" s="27" t="str">
        <f t="array" ref="N70">vlookup(D70, {Costs!B:B,Costs!D:D}, 2, 0)</f>
        <v>4 Sapphire
10 Zonaite</v>
      </c>
      <c r="O70" s="30">
        <f t="array" ref="O70">vlookup(D70, {Armor!C:C,Armor!F:F}, 2, 0)</f>
        <v>6</v>
      </c>
      <c r="P70" s="27" t="str">
        <f t="array" ref="P70">vlookup(D70, {Costs!B:B,Costs!E:E}, 2, 0)</f>
        <v>6 Sapphire
5 Large Zonaite
5 Dazzlefruit</v>
      </c>
      <c r="Q70" s="30">
        <f t="array" ref="Q70">vlookup(D70, {Armor!C:C,Armor!G:G}, 2, 0)</f>
        <v>9</v>
      </c>
      <c r="R70" s="27" t="str">
        <f t="array" ref="R70">vlookup(D70, {Costs!B:B,Costs!F:F}, 2, 0)</f>
        <v>10 Sapphire
10 Large Zonaite
10 Dazzlefruit</v>
      </c>
      <c r="S70" s="26">
        <f t="array" ref="S70">vlookup(D70, {Armor!C:C,Armor!H:H}, 2, 0)</f>
        <v>16</v>
      </c>
    </row>
    <row r="71" ht="60.0" customHeight="1">
      <c r="A71" s="31">
        <v>70.0</v>
      </c>
      <c r="B71" s="31" t="s">
        <v>55</v>
      </c>
      <c r="C71" s="31" t="s">
        <v>60</v>
      </c>
      <c r="D71" s="32" t="s">
        <v>146</v>
      </c>
      <c r="E71" s="33" t="str">
        <f t="array" ref="E71">vlookup(D71, {Armor!C:C,Armor!A:A}, 2, 0)</f>
        <v/>
      </c>
      <c r="F71" s="33"/>
      <c r="G71" s="33"/>
      <c r="H71" s="33"/>
      <c r="I71" s="33"/>
      <c r="J71" s="33"/>
      <c r="K71" s="35">
        <f t="array" ref="K71">vlookup(D71, {Armor!C:C,Armor!D:D}, 2, 0)</f>
        <v>2</v>
      </c>
      <c r="L71" s="33" t="str">
        <f t="array" ref="L71">vlookup(D71, {Costs!B:B,Costs!C:C}, 2, 0)</f>
        <v>1 Topaz
5 Zonaite</v>
      </c>
      <c r="M71" s="36">
        <f t="array" ref="M71">vlookup(D71, {Armor!C:C,Armor!E:E}, 2, 0)</f>
        <v>4</v>
      </c>
      <c r="N71" s="33" t="str">
        <f t="array" ref="N71">vlookup(D71, {Costs!B:B,Costs!D:D}, 2, 0)</f>
        <v>4 Topaz
10 Zonaite</v>
      </c>
      <c r="O71" s="36">
        <f t="array" ref="O71">vlookup(D71, {Armor!C:C,Armor!F:F}, 2, 0)</f>
        <v>6</v>
      </c>
      <c r="P71" s="33" t="str">
        <f t="array" ref="P71">vlookup(D71, {Costs!B:B,Costs!E:E}, 2, 0)</f>
        <v>6 Topaz
5 Large Zonaite
5 Dazzlefruit</v>
      </c>
      <c r="Q71" s="36">
        <f t="array" ref="Q71">vlookup(D71, {Armor!C:C,Armor!G:G}, 2, 0)</f>
        <v>9</v>
      </c>
      <c r="R71" s="33" t="str">
        <f t="array" ref="R71">vlookup(D71, {Costs!B:B,Costs!F:F}, 2, 0)</f>
        <v>10 Topaz
10 Large Zonaite
10 Dazzlefruit</v>
      </c>
      <c r="S71" s="32">
        <f t="array" ref="S71">vlookup(D71, {Armor!C:C,Armor!H:H}, 2, 0)</f>
        <v>16</v>
      </c>
    </row>
    <row r="72" ht="60.0" customHeight="1">
      <c r="A72" s="25">
        <v>71.0</v>
      </c>
      <c r="B72" s="25" t="s">
        <v>55</v>
      </c>
      <c r="C72" s="25" t="s">
        <v>60</v>
      </c>
      <c r="D72" s="26" t="s">
        <v>147</v>
      </c>
      <c r="E72" s="27" t="str">
        <f t="array" ref="E72">vlookup(D72, {Armor!C:C,Armor!A:A}, 2, 0)</f>
        <v/>
      </c>
      <c r="F72" s="27"/>
      <c r="G72" s="27"/>
      <c r="H72" s="27"/>
      <c r="I72" s="27"/>
      <c r="J72" s="27"/>
      <c r="K72" s="29">
        <f t="array" ref="K72">vlookup(D72, {Armor!C:C,Armor!D:D}, 2, 0)</f>
        <v>2</v>
      </c>
      <c r="L72" s="27" t="str">
        <f t="array" ref="L72">vlookup(D72, {Costs!B:B,Costs!C:C}, 2, 0)</f>
        <v>5 Opal
5 Zonaite</v>
      </c>
      <c r="M72" s="30">
        <f t="array" ref="M72">vlookup(D72, {Armor!C:C,Armor!E:E}, 2, 0)</f>
        <v>4</v>
      </c>
      <c r="N72" s="27" t="str">
        <f t="array" ref="N72">vlookup(D72, {Costs!B:B,Costs!D:D}, 2, 0)</f>
        <v>10 Opal
10 Zonaite</v>
      </c>
      <c r="O72" s="30">
        <f t="array" ref="O72">vlookup(D72, {Armor!C:C,Armor!F:F}, 2, 0)</f>
        <v>6</v>
      </c>
      <c r="P72" s="27" t="str">
        <f t="array" ref="P72">vlookup(D72, {Costs!B:B,Costs!E:E}, 2, 0)</f>
        <v>15 Opal
5 Large Zonaite
5 Dazzlefruit</v>
      </c>
      <c r="Q72" s="30">
        <f t="array" ref="Q72">vlookup(D72, {Armor!C:C,Armor!G:G}, 2, 0)</f>
        <v>9</v>
      </c>
      <c r="R72" s="27" t="str">
        <f t="array" ref="R72">vlookup(D72, {Costs!B:B,Costs!F:F}, 2, 0)</f>
        <v>25 Opal
10 Large Zonaite
10 Dazzlefruit</v>
      </c>
      <c r="S72" s="26">
        <f t="array" ref="S72">vlookup(D72, {Armor!C:C,Armor!H:H}, 2, 0)</f>
        <v>16</v>
      </c>
    </row>
    <row r="73" ht="60.0" customHeight="1">
      <c r="A73" s="31">
        <v>72.0</v>
      </c>
      <c r="B73" s="31" t="s">
        <v>148</v>
      </c>
      <c r="C73" s="31" t="s">
        <v>60</v>
      </c>
      <c r="D73" s="32" t="s">
        <v>149</v>
      </c>
      <c r="E73" s="33" t="str">
        <f t="array" ref="E73">vlookup(D73, {Armor!C:C,Armor!A:A}, 2, 0)</f>
        <v/>
      </c>
      <c r="F73" s="33"/>
      <c r="G73" s="33"/>
      <c r="H73" s="33"/>
      <c r="I73" s="33"/>
      <c r="J73" s="33"/>
      <c r="K73" s="35">
        <f t="array" ref="K73">vlookup(D73, {Armor!C:C,Armor!D:D}, 2, 0)</f>
        <v>4</v>
      </c>
      <c r="L73" s="33" t="str">
        <f t="array" ref="L73">vlookup(D73, {Costs!B:B,Costs!C:C}, 2, 0)</f>
        <v>5 Soldier Construct Horn</v>
      </c>
      <c r="M73" s="36">
        <f t="array" ref="M73">vlookup(D73, {Armor!C:C,Armor!E:E}, 2, 0)</f>
        <v>7</v>
      </c>
      <c r="N73" s="33" t="str">
        <f t="array" ref="N73">vlookup(D73, {Costs!B:B,Costs!D:D}, 2, 0)</f>
        <v>5 Soldier Construct II Horn
5 Captain Construct I Horn
5 Zonaite</v>
      </c>
      <c r="O73" s="36">
        <f t="array" ref="O73">vlookup(D73, {Armor!C:C,Armor!F:F}, 2, 0)</f>
        <v>12</v>
      </c>
      <c r="P73" s="33" t="str">
        <f t="array" ref="P73">vlookup(D73, {Costs!B:B,Costs!E:E}, 2, 0)</f>
        <v>5 Soldier Construct III Horn
5 Captain Construct II Horn
5 Large Zonaite</v>
      </c>
      <c r="Q73" s="36">
        <f t="array" ref="Q73">vlookup(D73, {Armor!C:C,Armor!G:G}, 2, 0)</f>
        <v>18</v>
      </c>
      <c r="R73" s="33" t="str">
        <f t="array" ref="R73">vlookup(D73, {Costs!B:B,Costs!F:F}, 2, 0)</f>
        <v>5 Soldier Construct IV Horn
5 Captain Construct III Horn
10 Large Zonaite</v>
      </c>
      <c r="S73" s="32">
        <f t="array" ref="S73">vlookup(D73, {Armor!C:C,Armor!H:H}, 2, 0)</f>
        <v>28</v>
      </c>
    </row>
    <row r="74" ht="60.0" customHeight="1">
      <c r="A74" s="25">
        <v>73.0</v>
      </c>
      <c r="B74" s="25" t="s">
        <v>148</v>
      </c>
      <c r="C74" s="25" t="s">
        <v>53</v>
      </c>
      <c r="D74" s="26" t="s">
        <v>150</v>
      </c>
      <c r="E74" s="27" t="str">
        <f t="array" ref="E74">vlookup(D74, {Armor!C:C,Armor!A:A}, 2, 0)</f>
        <v/>
      </c>
      <c r="F74" s="27"/>
      <c r="G74" s="27"/>
      <c r="H74" s="27"/>
      <c r="I74" s="27"/>
      <c r="J74" s="27"/>
      <c r="K74" s="29">
        <f t="array" ref="K74">vlookup(D74, {Armor!C:C,Armor!D:D}, 2, 0)</f>
        <v>4</v>
      </c>
      <c r="L74" s="27" t="str">
        <f t="array" ref="L74">vlookup(D74, {Costs!B:B,Costs!C:C}, 2, 0)</f>
        <v>5 Soldier Construct Horn</v>
      </c>
      <c r="M74" s="30">
        <f t="array" ref="M74">vlookup(D74, {Armor!C:C,Armor!E:E}, 2, 0)</f>
        <v>7</v>
      </c>
      <c r="N74" s="27" t="str">
        <f t="array" ref="N74">vlookup(D74, {Costs!B:B,Costs!D:D}, 2, 0)</f>
        <v>5 Soldier Construct II Horn
5 Captain Construct I Horn
5 Zonaite</v>
      </c>
      <c r="O74" s="30">
        <f t="array" ref="O74">vlookup(D74, {Armor!C:C,Armor!F:F}, 2, 0)</f>
        <v>12</v>
      </c>
      <c r="P74" s="27" t="str">
        <f t="array" ref="P74">vlookup(D74, {Costs!B:B,Costs!E:E}, 2, 0)</f>
        <v>5 Soldier Construct III Horn
5 Captain Construct II Horn
5 Large Zonaite</v>
      </c>
      <c r="Q74" s="30">
        <f t="array" ref="Q74">vlookup(D74, {Armor!C:C,Armor!G:G}, 2, 0)</f>
        <v>18</v>
      </c>
      <c r="R74" s="27" t="str">
        <f t="array" ref="R74">vlookup(D74, {Costs!B:B,Costs!F:F}, 2, 0)</f>
        <v>5 Soldier Construct IV Horn
5 Captain Construct III Horn
10 Large Zonaite</v>
      </c>
      <c r="S74" s="26">
        <f t="array" ref="S74">vlookup(D74, {Armor!C:C,Armor!H:H}, 2, 0)</f>
        <v>28</v>
      </c>
    </row>
    <row r="75" ht="60.0" customHeight="1">
      <c r="A75" s="31">
        <v>74.0</v>
      </c>
      <c r="B75" s="31" t="s">
        <v>148</v>
      </c>
      <c r="C75" s="31" t="s">
        <v>56</v>
      </c>
      <c r="D75" s="32" t="s">
        <v>151</v>
      </c>
      <c r="E75" s="33" t="str">
        <f t="array" ref="E75">vlookup(D75, {Armor!C:C,Armor!A:A}, 2, 0)</f>
        <v/>
      </c>
      <c r="F75" s="33"/>
      <c r="G75" s="33"/>
      <c r="H75" s="33"/>
      <c r="I75" s="33"/>
      <c r="J75" s="33"/>
      <c r="K75" s="35">
        <f t="array" ref="K75">vlookup(D75, {Armor!C:C,Armor!D:D}, 2, 0)</f>
        <v>4</v>
      </c>
      <c r="L75" s="33" t="str">
        <f t="array" ref="L75">vlookup(D75, {Costs!B:B,Costs!C:C}, 2, 0)</f>
        <v>5 Soldier Construct Horn</v>
      </c>
      <c r="M75" s="36">
        <f t="array" ref="M75">vlookup(D75, {Armor!C:C,Armor!E:E}, 2, 0)</f>
        <v>7</v>
      </c>
      <c r="N75" s="33" t="str">
        <f t="array" ref="N75">vlookup(D75, {Costs!B:B,Costs!D:D}, 2, 0)</f>
        <v>5 Soldier Construct II Horn
5 Captain Construct I Horn
5 Zonaite</v>
      </c>
      <c r="O75" s="36">
        <f t="array" ref="O75">vlookup(D75, {Armor!C:C,Armor!F:F}, 2, 0)</f>
        <v>12</v>
      </c>
      <c r="P75" s="33" t="str">
        <f t="array" ref="P75">vlookup(D75, {Costs!B:B,Costs!E:E}, 2, 0)</f>
        <v>5 Soldier Construct III Horn
5 Captain Construct II Horn
5 Large Zonaite</v>
      </c>
      <c r="Q75" s="36">
        <f t="array" ref="Q75">vlookup(D75, {Armor!C:C,Armor!G:G}, 2, 0)</f>
        <v>18</v>
      </c>
      <c r="R75" s="33" t="str">
        <f t="array" ref="R75">vlookup(D75, {Costs!B:B,Costs!F:F}, 2, 0)</f>
        <v>5 Soldier Construct IV Horn
5 Captain Construct III Horn
10 Large Zonaite</v>
      </c>
      <c r="S75" s="32">
        <f t="array" ref="S75">vlookup(D75, {Armor!C:C,Armor!H:H}, 2, 0)</f>
        <v>28</v>
      </c>
    </row>
    <row r="76" ht="60.0" customHeight="1">
      <c r="A76" s="25">
        <v>75.0</v>
      </c>
      <c r="B76" s="25" t="s">
        <v>55</v>
      </c>
      <c r="C76" s="25" t="s">
        <v>60</v>
      </c>
      <c r="D76" s="26" t="s">
        <v>152</v>
      </c>
      <c r="E76" s="27" t="str">
        <f t="array" ref="E76">vlookup(D76, {Armor!C:C,Armor!A:A}, 2, 0)</f>
        <v/>
      </c>
      <c r="F76" s="27"/>
      <c r="G76" s="27"/>
      <c r="H76" s="27"/>
      <c r="I76" s="27"/>
      <c r="J76" s="27"/>
      <c r="K76" s="29">
        <f t="array" ref="K76">vlookup(D76, {Armor!C:C,Armor!D:D}, 2, 0)</f>
        <v>4</v>
      </c>
      <c r="L76" s="27" t="str">
        <f t="array" ref="L76">vlookup(D76, {Costs!B:B,Costs!C:C}, 2, 0)</f>
        <v>10 Amber
5 Flint</v>
      </c>
      <c r="M76" s="30">
        <f t="array" ref="M76">vlookup(D76, {Armor!C:C,Armor!E:E}, 2, 0)</f>
        <v>7</v>
      </c>
      <c r="N76" s="27" t="str">
        <f t="array" ref="N76">vlookup(D76, {Costs!B:B,Costs!D:D}, 2, 0)</f>
        <v>20 Amber
10 Flint</v>
      </c>
      <c r="O76" s="30">
        <f t="array" ref="O76">vlookup(D76, {Armor!C:C,Armor!F:F}, 2, 0)</f>
        <v>12</v>
      </c>
      <c r="P76" s="27" t="str">
        <f t="array" ref="P76">vlookup(D76, {Costs!B:B,Costs!E:E}, 2, 0)</f>
        <v>35 Amber
15 Flint</v>
      </c>
      <c r="Q76" s="30">
        <f t="array" ref="Q76">vlookup(D76, {Armor!C:C,Armor!G:G}, 2, 0)</f>
        <v>18</v>
      </c>
      <c r="R76" s="27" t="str">
        <f t="array" ref="R76">vlookup(D76, {Costs!B:B,Costs!F:F}, 2, 0)</f>
        <v>60 Amber
25 Flint</v>
      </c>
      <c r="S76" s="26">
        <f t="array" ref="S76">vlookup(D76, {Armor!C:C,Armor!H:H}, 2, 0)</f>
        <v>28</v>
      </c>
    </row>
    <row r="77" ht="60.0" customHeight="1">
      <c r="A77" s="31">
        <v>76.0</v>
      </c>
      <c r="B77" s="31" t="s">
        <v>55</v>
      </c>
      <c r="C77" s="31" t="s">
        <v>60</v>
      </c>
      <c r="D77" s="32" t="s">
        <v>153</v>
      </c>
      <c r="E77" s="33" t="str">
        <f t="array" ref="E77">vlookup(D77, {Armor!C:C,Armor!A:A}, 2, 0)</f>
        <v/>
      </c>
      <c r="F77" s="33"/>
      <c r="G77" s="33"/>
      <c r="H77" s="33"/>
      <c r="I77" s="33"/>
      <c r="J77" s="33"/>
      <c r="K77" s="35">
        <f t="array" ref="K77">vlookup(D77, {Armor!C:C,Armor!D:D}, 2, 0)</f>
        <v>4</v>
      </c>
      <c r="L77" s="33" t="str">
        <f t="array" ref="L77">vlookup(D77, {Costs!B:B,Costs!C:C}, 2, 0)</f>
        <v>2 Diamond
3 Flint</v>
      </c>
      <c r="M77" s="36">
        <f t="array" ref="M77">vlookup(D77, {Armor!C:C,Armor!E:E}, 2, 0)</f>
        <v>7</v>
      </c>
      <c r="N77" s="33" t="str">
        <f t="array" ref="N77">vlookup(D77, {Costs!B:B,Costs!D:D}, 2, 0)</f>
        <v>3 Diamond
5 Flint</v>
      </c>
      <c r="O77" s="36">
        <f t="array" ref="O77">vlookup(D77, {Armor!C:C,Armor!F:F}, 2, 0)</f>
        <v>12</v>
      </c>
      <c r="P77" s="33" t="str">
        <f t="array" ref="P77">vlookup(D77, {Costs!B:B,Costs!E:E}, 2, 0)</f>
        <v>5 Diamond
1 Star Fragment</v>
      </c>
      <c r="Q77" s="36">
        <f t="array" ref="Q77">vlookup(D77, {Armor!C:C,Armor!G:G}, 2, 0)</f>
        <v>18</v>
      </c>
      <c r="R77" s="33" t="str">
        <f t="array" ref="R77">vlookup(D77, {Costs!B:B,Costs!F:F}, 2, 0)</f>
        <v>8 Diamond
2 Star Fragment</v>
      </c>
      <c r="S77" s="32">
        <f t="array" ref="S77">vlookup(D77, {Armor!C:C,Armor!H:H}, 2, 0)</f>
        <v>28</v>
      </c>
    </row>
    <row r="78" ht="60.0" customHeight="1">
      <c r="A78" s="25">
        <v>77.0</v>
      </c>
      <c r="B78" s="25" t="s">
        <v>55</v>
      </c>
      <c r="C78" s="25" t="s">
        <v>60</v>
      </c>
      <c r="D78" s="26" t="s">
        <v>154</v>
      </c>
      <c r="E78" s="27" t="str">
        <f t="array" ref="E78">vlookup(D78, {Armor!C:C,Armor!A:A}, 2, 0)</f>
        <v/>
      </c>
      <c r="F78" s="27"/>
      <c r="G78" s="27"/>
      <c r="H78" s="27"/>
      <c r="I78" s="27"/>
      <c r="J78" s="27"/>
      <c r="K78" s="29">
        <f t="array" ref="K78">vlookup(D78, {Armor!C:C,Armor!D:D}, 2, 0)</f>
        <v>3</v>
      </c>
      <c r="L78" s="27" t="str">
        <f t="array" ref="L78">vlookup(D78, {Costs!B:B,Costs!C:C}, 2, 0)</f>
        <v>2 Ruby
3 Flint</v>
      </c>
      <c r="M78" s="30">
        <f t="array" ref="M78">vlookup(D78, {Armor!C:C,Armor!E:E}, 2, 0)</f>
        <v>5</v>
      </c>
      <c r="N78" s="27" t="str">
        <f t="array" ref="N78">vlookup(D78, {Costs!B:B,Costs!D:D}, 2, 0)</f>
        <v>4 Ruby
5 Flint</v>
      </c>
      <c r="O78" s="30">
        <f t="array" ref="O78">vlookup(D78, {Armor!C:C,Armor!F:F}, 2, 0)</f>
        <v>8</v>
      </c>
      <c r="P78" s="27" t="str">
        <f t="array" ref="P78">vlookup(D78, {Costs!B:B,Costs!E:E}, 2, 0)</f>
        <v>6 Ruby
1 Star Fragment</v>
      </c>
      <c r="Q78" s="30">
        <f t="array" ref="Q78">vlookup(D78, {Armor!C:C,Armor!G:G}, 2, 0)</f>
        <v>12</v>
      </c>
      <c r="R78" s="27" t="str">
        <f t="array" ref="R78">vlookup(D78, {Costs!B:B,Costs!F:F}, 2, 0)</f>
        <v>10 Ruby
2 Star Fragment</v>
      </c>
      <c r="S78" s="26">
        <f t="array" ref="S78">vlookup(D78, {Armor!C:C,Armor!H:H}, 2, 0)</f>
        <v>20</v>
      </c>
    </row>
    <row r="79" ht="60.0" customHeight="1">
      <c r="A79" s="31">
        <v>78.0</v>
      </c>
      <c r="B79" s="31" t="s">
        <v>55</v>
      </c>
      <c r="C79" s="31" t="s">
        <v>60</v>
      </c>
      <c r="D79" s="32" t="s">
        <v>155</v>
      </c>
      <c r="E79" s="33" t="str">
        <f t="array" ref="E79">vlookup(D79, {Armor!C:C,Armor!A:A}, 2, 0)</f>
        <v/>
      </c>
      <c r="F79" s="33"/>
      <c r="G79" s="33"/>
      <c r="H79" s="33"/>
      <c r="I79" s="33"/>
      <c r="J79" s="33"/>
      <c r="K79" s="35">
        <f t="array" ref="K79">vlookup(D79, {Armor!C:C,Armor!D:D}, 2, 0)</f>
        <v>3</v>
      </c>
      <c r="L79" s="33" t="str">
        <f t="array" ref="L79">vlookup(D79, {Costs!B:B,Costs!C:C}, 2, 0)</f>
        <v>2 Sapphire
3 Flint</v>
      </c>
      <c r="M79" s="36">
        <f t="array" ref="M79">vlookup(D79, {Armor!C:C,Armor!E:E}, 2, 0)</f>
        <v>5</v>
      </c>
      <c r="N79" s="33" t="str">
        <f t="array" ref="N79">vlookup(D79, {Costs!B:B,Costs!D:D}, 2, 0)</f>
        <v>4 Sapphire
5 Flint</v>
      </c>
      <c r="O79" s="36">
        <f t="array" ref="O79">vlookup(D79, {Armor!C:C,Armor!F:F}, 2, 0)</f>
        <v>8</v>
      </c>
      <c r="P79" s="33" t="str">
        <f t="array" ref="P79">vlookup(D79, {Costs!B:B,Costs!E:E}, 2, 0)</f>
        <v>6 Sapphire
1 Star Fragment</v>
      </c>
      <c r="Q79" s="36">
        <f t="array" ref="Q79">vlookup(D79, {Armor!C:C,Armor!G:G}, 2, 0)</f>
        <v>12</v>
      </c>
      <c r="R79" s="33" t="str">
        <f t="array" ref="R79">vlookup(D79, {Costs!B:B,Costs!F:F}, 2, 0)</f>
        <v>10 Sapphire
2 Star Fragment</v>
      </c>
      <c r="S79" s="32">
        <f t="array" ref="S79">vlookup(D79, {Armor!C:C,Armor!H:H}, 2, 0)</f>
        <v>20</v>
      </c>
    </row>
    <row r="80" ht="60.0" customHeight="1">
      <c r="A80" s="25">
        <v>79.0</v>
      </c>
      <c r="B80" s="25" t="s">
        <v>55</v>
      </c>
      <c r="C80" s="25" t="s">
        <v>60</v>
      </c>
      <c r="D80" s="26" t="s">
        <v>156</v>
      </c>
      <c r="E80" s="27" t="str">
        <f t="array" ref="E80">vlookup(D80, {Armor!C:C,Armor!A:A}, 2, 0)</f>
        <v/>
      </c>
      <c r="F80" s="27"/>
      <c r="G80" s="27"/>
      <c r="H80" s="27"/>
      <c r="I80" s="27"/>
      <c r="J80" s="27"/>
      <c r="K80" s="29">
        <f t="array" ref="K80">vlookup(D80, {Armor!C:C,Armor!D:D}, 2, 0)</f>
        <v>3</v>
      </c>
      <c r="L80" s="27" t="str">
        <f t="array" ref="L80">vlookup(D80, {Costs!B:B,Costs!C:C}, 2, 0)</f>
        <v>2 Topaz
3 Flint</v>
      </c>
      <c r="M80" s="30">
        <f t="array" ref="M80">vlookup(D80, {Armor!C:C,Armor!E:E}, 2, 0)</f>
        <v>5</v>
      </c>
      <c r="N80" s="27" t="str">
        <f t="array" ref="N80">vlookup(D80, {Costs!B:B,Costs!D:D}, 2, 0)</f>
        <v>4 Topaz
5 Flint</v>
      </c>
      <c r="O80" s="30">
        <f t="array" ref="O80">vlookup(D80, {Armor!C:C,Armor!F:F}, 2, 0)</f>
        <v>8</v>
      </c>
      <c r="P80" s="27" t="str">
        <f t="array" ref="P80">vlookup(D80, {Costs!B:B,Costs!E:E}, 2, 0)</f>
        <v>6 Topaz
1 Star Fragment</v>
      </c>
      <c r="Q80" s="30">
        <f t="array" ref="Q80">vlookup(D80, {Armor!C:C,Armor!G:G}, 2, 0)</f>
        <v>12</v>
      </c>
      <c r="R80" s="27" t="str">
        <f t="array" ref="R80">vlookup(D80, {Costs!B:B,Costs!F:F}, 2, 0)</f>
        <v>10 Topaz
2 Star Fragment</v>
      </c>
      <c r="S80" s="26">
        <f t="array" ref="S80">vlookup(D80, {Armor!C:C,Armor!H:H}, 2, 0)</f>
        <v>18</v>
      </c>
    </row>
    <row r="81" ht="60.0" customHeight="1">
      <c r="A81" s="31">
        <v>80.0</v>
      </c>
      <c r="B81" s="31" t="s">
        <v>55</v>
      </c>
      <c r="C81" s="31" t="s">
        <v>60</v>
      </c>
      <c r="D81" s="32" t="s">
        <v>157</v>
      </c>
      <c r="E81" s="33" t="str">
        <f t="array" ref="E81">vlookup(D81, {Armor!C:C,Armor!A:A}, 2, 0)</f>
        <v/>
      </c>
      <c r="F81" s="33"/>
      <c r="G81" s="33"/>
      <c r="H81" s="33"/>
      <c r="I81" s="33"/>
      <c r="J81" s="33"/>
      <c r="K81" s="35">
        <f t="array" ref="K81">vlookup(D81, {Armor!C:C,Armor!D:D}, 2, 0)</f>
        <v>3</v>
      </c>
      <c r="L81" s="33" t="str">
        <f t="array" ref="L81">vlookup(D81, {Costs!B:B,Costs!C:C}, 2, 0)</f>
        <v>6 Opal
5 Flint</v>
      </c>
      <c r="M81" s="36">
        <f t="array" ref="M81">vlookup(D81, {Armor!C:C,Armor!E:E}, 2, 0)</f>
        <v>5</v>
      </c>
      <c r="N81" s="33" t="str">
        <f t="array" ref="N81">vlookup(D81, {Costs!B:B,Costs!D:D}, 2, 0)</f>
        <v>12 Opal
10 Flint</v>
      </c>
      <c r="O81" s="36">
        <f t="array" ref="O81">vlookup(D81, {Armor!C:C,Armor!F:F}, 2, 0)</f>
        <v>8</v>
      </c>
      <c r="P81" s="33" t="str">
        <f t="array" ref="P81">vlookup(D81, {Costs!B:B,Costs!E:E}, 2, 0)</f>
        <v>18 Opal
15 Flint</v>
      </c>
      <c r="Q81" s="36">
        <f t="array" ref="Q81">vlookup(D81, {Armor!C:C,Armor!G:G}, 2, 0)</f>
        <v>12</v>
      </c>
      <c r="R81" s="33" t="str">
        <f t="array" ref="R81">vlookup(D81, {Costs!B:B,Costs!F:F}, 2, 0)</f>
        <v>30 Opal
25 Flint</v>
      </c>
      <c r="S81" s="32">
        <f t="array" ref="S81">vlookup(D81, {Armor!C:C,Armor!H:H}, 2, 0)</f>
        <v>20</v>
      </c>
    </row>
    <row r="82" ht="60.0" customHeight="1">
      <c r="A82" s="25">
        <v>81.0</v>
      </c>
      <c r="B82" s="25" t="s">
        <v>55</v>
      </c>
      <c r="C82" s="25" t="s">
        <v>60</v>
      </c>
      <c r="D82" s="26" t="s">
        <v>158</v>
      </c>
      <c r="E82" s="27" t="str">
        <f t="array" ref="E82">vlookup(D82, {Armor!C:C,Armor!A:A}, 2, 0)</f>
        <v/>
      </c>
      <c r="F82" s="27"/>
      <c r="G82" s="27" t="s">
        <v>55</v>
      </c>
      <c r="H82" s="27" t="s">
        <v>55</v>
      </c>
      <c r="I82" s="27" t="s">
        <v>55</v>
      </c>
      <c r="J82" s="27" t="s">
        <v>55</v>
      </c>
      <c r="K82" s="29">
        <f t="array" ref="K82">vlookup(D82, {Armor!C:C,Armor!D:D}, 2, 0)</f>
        <v>0</v>
      </c>
      <c r="L82" s="27" t="str">
        <f t="array" ref="L82">vlookup(D82, {Costs!B:B,Costs!C:C}, 2, 0)</f>
        <v>N/A</v>
      </c>
      <c r="M82" s="30" t="str">
        <f t="array" ref="M82">vlookup(D82, {Armor!C:C,Armor!E:E}, 2, 0)</f>
        <v>N/A</v>
      </c>
      <c r="N82" s="27" t="str">
        <f t="array" ref="N82">vlookup(D82, {Costs!B:B,Costs!D:D}, 2, 0)</f>
        <v>N/A</v>
      </c>
      <c r="O82" s="30" t="str">
        <f t="array" ref="O82">vlookup(D82, {Armor!C:C,Armor!F:F}, 2, 0)</f>
        <v>N/A</v>
      </c>
      <c r="P82" s="27" t="str">
        <f t="array" ref="P82">vlookup(D82, {Costs!B:B,Costs!E:E}, 2, 0)</f>
        <v>N/A</v>
      </c>
      <c r="Q82" s="30" t="str">
        <f t="array" ref="Q82">vlookup(D82, {Armor!C:C,Armor!G:G}, 2, 0)</f>
        <v>N/A</v>
      </c>
      <c r="R82" s="27" t="str">
        <f t="array" ref="R82">vlookup(D82, {Costs!B:B,Costs!F:F}, 2, 0)</f>
        <v>N/A</v>
      </c>
      <c r="S82" s="26" t="str">
        <f t="array" ref="S82">vlookup(D82, {Armor!C:C,Armor!H:H}, 2, 0)</f>
        <v>N/A</v>
      </c>
    </row>
    <row r="83" ht="60.0" customHeight="1">
      <c r="A83" s="31">
        <v>82.0</v>
      </c>
      <c r="B83" s="31" t="s">
        <v>55</v>
      </c>
      <c r="C83" s="31" t="s">
        <v>60</v>
      </c>
      <c r="D83" s="32" t="s">
        <v>159</v>
      </c>
      <c r="E83" s="33" t="str">
        <f t="array" ref="E83">vlookup(D83, {Armor!C:C,Armor!A:A}, 2, 0)</f>
        <v/>
      </c>
      <c r="F83" s="33"/>
      <c r="G83" s="33" t="s">
        <v>55</v>
      </c>
      <c r="H83" s="33" t="s">
        <v>55</v>
      </c>
      <c r="I83" s="33" t="s">
        <v>55</v>
      </c>
      <c r="J83" s="33" t="s">
        <v>55</v>
      </c>
      <c r="K83" s="35">
        <f t="array" ref="K83">vlookup(D83, {Armor!C:C,Armor!D:D}, 2, 0)</f>
        <v>3</v>
      </c>
      <c r="L83" s="33" t="str">
        <f t="array" ref="L83">vlookup(D83, {Costs!B:B,Costs!C:C}, 2, 0)</f>
        <v>N/A</v>
      </c>
      <c r="M83" s="36" t="str">
        <f t="array" ref="M83">vlookup(D83, {Armor!C:C,Armor!E:E}, 2, 0)</f>
        <v>N/A</v>
      </c>
      <c r="N83" s="33" t="str">
        <f t="array" ref="N83">vlookup(D83, {Costs!B:B,Costs!D:D}, 2, 0)</f>
        <v>N/A</v>
      </c>
      <c r="O83" s="36" t="str">
        <f t="array" ref="O83">vlookup(D83, {Armor!C:C,Armor!F:F}, 2, 0)</f>
        <v>N/A</v>
      </c>
      <c r="P83" s="33" t="str">
        <f t="array" ref="P83">vlookup(D83, {Costs!B:B,Costs!E:E}, 2, 0)</f>
        <v>N/A</v>
      </c>
      <c r="Q83" s="36" t="str">
        <f t="array" ref="Q83">vlookup(D83, {Armor!C:C,Armor!G:G}, 2, 0)</f>
        <v>N/A</v>
      </c>
      <c r="R83" s="33" t="str">
        <f t="array" ref="R83">vlookup(D83, {Costs!B:B,Costs!F:F}, 2, 0)</f>
        <v>N/A</v>
      </c>
      <c r="S83" s="32" t="str">
        <f t="array" ref="S83">vlookup(D83, {Armor!C:C,Armor!H:H}, 2, 0)</f>
        <v>N/A</v>
      </c>
    </row>
    <row r="84" ht="60.0" customHeight="1">
      <c r="A84" s="25">
        <v>83.0</v>
      </c>
      <c r="B84" s="25" t="s">
        <v>55</v>
      </c>
      <c r="C84" s="25" t="s">
        <v>60</v>
      </c>
      <c r="D84" s="38" t="s">
        <v>160</v>
      </c>
      <c r="E84" s="27" t="str">
        <f t="array" ref="E84">vlookup(D84, {Armor!C:C,Armor!A:A}, 2, 0)</f>
        <v/>
      </c>
      <c r="F84" s="27"/>
      <c r="G84" s="27" t="s">
        <v>55</v>
      </c>
      <c r="H84" s="27" t="s">
        <v>55</v>
      </c>
      <c r="I84" s="27" t="s">
        <v>55</v>
      </c>
      <c r="J84" s="27" t="s">
        <v>55</v>
      </c>
      <c r="K84" s="29">
        <f t="array" ref="K84">vlookup(D84, {Armor!C:C,Armor!D:D}, 2, 0)</f>
        <v>3</v>
      </c>
      <c r="L84" s="27" t="str">
        <f t="array" ref="L84">vlookup(D84, {Costs!B:B,Costs!C:C}, 2, 0)</f>
        <v>N/A</v>
      </c>
      <c r="M84" s="30" t="str">
        <f t="array" ref="M84">vlookup(D84, {Armor!C:C,Armor!E:E}, 2, 0)</f>
        <v>N/A</v>
      </c>
      <c r="N84" s="27" t="str">
        <f t="array" ref="N84">vlookup(D84, {Costs!B:B,Costs!D:D}, 2, 0)</f>
        <v>N/A</v>
      </c>
      <c r="O84" s="30" t="str">
        <f t="array" ref="O84">vlookup(D84, {Armor!C:C,Armor!F:F}, 2, 0)</f>
        <v>N/A</v>
      </c>
      <c r="P84" s="27" t="str">
        <f t="array" ref="P84">vlookup(D84, {Costs!B:B,Costs!E:E}, 2, 0)</f>
        <v>N/A</v>
      </c>
      <c r="Q84" s="30" t="str">
        <f t="array" ref="Q84">vlookup(D84, {Armor!C:C,Armor!G:G}, 2, 0)</f>
        <v>N/A</v>
      </c>
      <c r="R84" s="27" t="str">
        <f t="array" ref="R84">vlookup(D84, {Costs!B:B,Costs!F:F}, 2, 0)</f>
        <v>N/A</v>
      </c>
      <c r="S84" s="26" t="str">
        <f t="array" ref="S84">vlookup(D84, {Armor!C:C,Armor!H:H}, 2, 0)</f>
        <v>N/A</v>
      </c>
    </row>
    <row r="85" ht="60.0" customHeight="1">
      <c r="A85" s="31">
        <v>84.0</v>
      </c>
      <c r="B85" s="31" t="s">
        <v>55</v>
      </c>
      <c r="C85" s="31" t="s">
        <v>56</v>
      </c>
      <c r="D85" s="32" t="s">
        <v>161</v>
      </c>
      <c r="E85" s="33" t="str">
        <f t="array" ref="E85">vlookup(D85, {Armor!C:C,Armor!A:A}, 2, 0)</f>
        <v/>
      </c>
      <c r="F85" s="33"/>
      <c r="G85" s="33"/>
      <c r="H85" s="33"/>
      <c r="I85" s="33"/>
      <c r="J85" s="33"/>
      <c r="K85" s="35">
        <f t="array" ref="K85">vlookup(D85, {Armor!C:C,Armor!D:D}, 2, 0)</f>
        <v>3</v>
      </c>
      <c r="L85" s="33" t="str">
        <f t="array" ref="L85">vlookup(D85, {Costs!B:B,Costs!C:C}, 2, 0)</f>
        <v>3 Hightail Lizard</v>
      </c>
      <c r="M85" s="36">
        <f t="array" ref="M85">vlookup(D85, {Armor!C:C,Armor!E:E}, 2, 0)</f>
        <v>5</v>
      </c>
      <c r="N85" s="33" t="str">
        <f t="array" ref="N85">vlookup(D85, {Costs!B:B,Costs!D:D}, 2, 0)</f>
        <v>20 Gibdo Bone
5 Swift Carrot</v>
      </c>
      <c r="O85" s="36">
        <f t="array" ref="O85">vlookup(D85, {Armor!C:C,Armor!F:F}, 2, 0)</f>
        <v>8</v>
      </c>
      <c r="P85" s="33" t="str">
        <f t="array" ref="P85">vlookup(D85, {Costs!B:B,Costs!E:E}, 2, 0)</f>
        <v>5 Gibdo Guts
10 Rushroom
5 Molduga Fin</v>
      </c>
      <c r="Q85" s="36">
        <f t="array" ref="Q85">vlookup(D85, {Armor!C:C,Armor!G:G}, 2, 0)</f>
        <v>12</v>
      </c>
      <c r="R85" s="33" t="str">
        <f t="array" ref="R85">vlookup(D85, {Costs!B:B,Costs!F:F}, 2, 0)</f>
        <v>5 Molduga Guts
10 Swift Violet
5 Hearty Lizard</v>
      </c>
      <c r="S85" s="32">
        <f t="array" ref="S85">vlookup(D85, {Armor!C:C,Armor!H:H}, 2, 0)</f>
        <v>20</v>
      </c>
    </row>
    <row r="86" ht="60.0" customHeight="1">
      <c r="A86" s="25">
        <v>85.0</v>
      </c>
      <c r="B86" s="25" t="s">
        <v>55</v>
      </c>
      <c r="C86" s="25" t="s">
        <v>56</v>
      </c>
      <c r="D86" s="26" t="s">
        <v>162</v>
      </c>
      <c r="E86" s="27" t="str">
        <f t="array" ref="E86">vlookup(D86, {Armor!C:C,Armor!A:A}, 2, 0)</f>
        <v/>
      </c>
      <c r="F86" s="27"/>
      <c r="G86" s="27"/>
      <c r="H86" s="27"/>
      <c r="I86" s="27"/>
      <c r="J86" s="27"/>
      <c r="K86" s="29">
        <f t="array" ref="K86">vlookup(D86, {Armor!C:C,Armor!D:D}, 2, 0)</f>
        <v>3</v>
      </c>
      <c r="L86" s="27" t="str">
        <f t="array" ref="L86">vlookup(D86, {Costs!B:B,Costs!C:C}, 2, 0)</f>
        <v>3 Hightail Lizard</v>
      </c>
      <c r="M86" s="30">
        <f t="array" ref="M86">vlookup(D86, {Armor!C:C,Armor!E:E}, 2, 0)</f>
        <v>5</v>
      </c>
      <c r="N86" s="27" t="str">
        <f t="array" ref="N86">vlookup(D86, {Costs!B:B,Costs!D:D}, 2, 0)</f>
        <v>5 Octorok Tentacle
5 Swift Carrot</v>
      </c>
      <c r="O86" s="30">
        <f t="array" ref="O86">vlookup(D86, {Armor!C:C,Armor!F:F}, 2, 0)</f>
        <v>8</v>
      </c>
      <c r="P86" s="27" t="str">
        <f t="array" ref="P86">vlookup(D86, {Costs!B:B,Costs!E:E}, 2, 0)</f>
        <v>5 Octo Balloon
20 Rushroom</v>
      </c>
      <c r="Q86" s="30">
        <f t="array" ref="Q86">vlookup(D86, {Armor!C:C,Armor!G:G}, 2, 0)</f>
        <v>12</v>
      </c>
      <c r="R86" s="27" t="str">
        <f t="array" ref="R86">vlookup(D86, {Costs!B:B,Costs!F:F}, 2, 0)</f>
        <v>2 Naydra's Scale
20 Swift Violet</v>
      </c>
      <c r="S86" s="26">
        <f t="array" ref="S86">vlookup(D86, {Armor!C:C,Armor!H:H}, 2, 0)</f>
        <v>20</v>
      </c>
    </row>
    <row r="87" ht="60.0" customHeight="1">
      <c r="A87" s="31">
        <v>86.0</v>
      </c>
      <c r="B87" s="31" t="s">
        <v>55</v>
      </c>
      <c r="C87" s="31" t="s">
        <v>60</v>
      </c>
      <c r="D87" s="32" t="s">
        <v>163</v>
      </c>
      <c r="E87" s="33" t="str">
        <f t="array" ref="E87">vlookup(D87, {Armor!C:C,Armor!A:A}, 2, 0)</f>
        <v/>
      </c>
      <c r="F87" s="33"/>
      <c r="G87" s="33" t="s">
        <v>55</v>
      </c>
      <c r="H87" s="33" t="s">
        <v>55</v>
      </c>
      <c r="I87" s="33" t="s">
        <v>55</v>
      </c>
      <c r="J87" s="33" t="s">
        <v>55</v>
      </c>
      <c r="K87" s="35">
        <f t="array" ref="K87">vlookup(D87, {Armor!C:C,Armor!D:D}, 2, 0)</f>
        <v>3</v>
      </c>
      <c r="L87" s="33" t="str">
        <f t="array" ref="L87">vlookup(D87, {Costs!B:B,Costs!C:C}, 2, 0)</f>
        <v>N/A</v>
      </c>
      <c r="M87" s="36" t="str">
        <f t="array" ref="M87">vlookup(D87, {Armor!C:C,Armor!E:E}, 2, 0)</f>
        <v>N/A</v>
      </c>
      <c r="N87" s="33" t="str">
        <f t="array" ref="N87">vlookup(D87, {Costs!B:B,Costs!D:D}, 2, 0)</f>
        <v>N/A</v>
      </c>
      <c r="O87" s="36" t="str">
        <f t="array" ref="O87">vlookup(D87, {Armor!C:C,Armor!F:F}, 2, 0)</f>
        <v>N/A</v>
      </c>
      <c r="P87" s="33" t="str">
        <f t="array" ref="P87">vlookup(D87, {Costs!B:B,Costs!E:E}, 2, 0)</f>
        <v>N/A</v>
      </c>
      <c r="Q87" s="36" t="str">
        <f t="array" ref="Q87">vlookup(D87, {Armor!C:C,Armor!G:G}, 2, 0)</f>
        <v>N/A</v>
      </c>
      <c r="R87" s="33" t="str">
        <f t="array" ref="R87">vlookup(D87, {Costs!B:B,Costs!F:F}, 2, 0)</f>
        <v>N/A</v>
      </c>
      <c r="S87" s="32" t="str">
        <f t="array" ref="S87">vlookup(D87, {Armor!C:C,Armor!H:H}, 2, 0)</f>
        <v>N/A</v>
      </c>
    </row>
    <row r="88" ht="60.0" customHeight="1">
      <c r="A88" s="25">
        <v>87.0</v>
      </c>
      <c r="B88" s="25" t="s">
        <v>55</v>
      </c>
      <c r="C88" s="25" t="s">
        <v>60</v>
      </c>
      <c r="D88" s="26" t="s">
        <v>164</v>
      </c>
      <c r="E88" s="27" t="str">
        <f t="array" ref="E88">vlookup(D88, {Armor!C:C,Armor!A:A}, 2, 0)</f>
        <v/>
      </c>
      <c r="F88" s="27"/>
      <c r="G88" s="27" t="s">
        <v>55</v>
      </c>
      <c r="H88" s="27" t="s">
        <v>55</v>
      </c>
      <c r="I88" s="27" t="s">
        <v>55</v>
      </c>
      <c r="J88" s="27" t="s">
        <v>55</v>
      </c>
      <c r="K88" s="29">
        <f t="array" ref="K88">vlookup(D88, {Armor!C:C,Armor!D:D}, 2, 0)</f>
        <v>3</v>
      </c>
      <c r="L88" s="27" t="str">
        <f t="array" ref="L88">vlookup(D88, {Costs!B:B,Costs!C:C}, 2, 0)</f>
        <v>N/A</v>
      </c>
      <c r="M88" s="30" t="str">
        <f t="array" ref="M88">vlookup(D88, {Armor!C:C,Armor!E:E}, 2, 0)</f>
        <v>N/A</v>
      </c>
      <c r="N88" s="27" t="str">
        <f t="array" ref="N88">vlookup(D88, {Costs!B:B,Costs!D:D}, 2, 0)</f>
        <v>N/A</v>
      </c>
      <c r="O88" s="30" t="str">
        <f t="array" ref="O88">vlookup(D88, {Armor!C:C,Armor!F:F}, 2, 0)</f>
        <v>N/A</v>
      </c>
      <c r="P88" s="27" t="str">
        <f t="array" ref="P88">vlookup(D88, {Costs!B:B,Costs!E:E}, 2, 0)</f>
        <v>N/A</v>
      </c>
      <c r="Q88" s="30" t="str">
        <f t="array" ref="Q88">vlookup(D88, {Armor!C:C,Armor!G:G}, 2, 0)</f>
        <v>N/A</v>
      </c>
      <c r="R88" s="27" t="str">
        <f t="array" ref="R88">vlookup(D88, {Costs!B:B,Costs!F:F}, 2, 0)</f>
        <v>N/A</v>
      </c>
      <c r="S88" s="26" t="str">
        <f t="array" ref="S88">vlookup(D88, {Armor!C:C,Armor!H:H}, 2, 0)</f>
        <v>N/A</v>
      </c>
    </row>
    <row r="89" ht="60.0" customHeight="1">
      <c r="A89" s="31">
        <v>88.0</v>
      </c>
      <c r="B89" s="31" t="s">
        <v>55</v>
      </c>
      <c r="C89" s="31" t="s">
        <v>60</v>
      </c>
      <c r="D89" s="32" t="s">
        <v>165</v>
      </c>
      <c r="E89" s="33" t="str">
        <f t="array" ref="E89">vlookup(D89, {Armor!C:C,Armor!A:A}, 2, 0)</f>
        <v/>
      </c>
      <c r="F89" s="33"/>
      <c r="G89" s="33" t="s">
        <v>55</v>
      </c>
      <c r="H89" s="33" t="s">
        <v>55</v>
      </c>
      <c r="I89" s="33" t="s">
        <v>55</v>
      </c>
      <c r="J89" s="33" t="s">
        <v>55</v>
      </c>
      <c r="K89" s="35">
        <f t="array" ref="K89">vlookup(D89, {Armor!C:C,Armor!D:D}, 2, 0)</f>
        <v>3</v>
      </c>
      <c r="L89" s="33" t="str">
        <f t="array" ref="L89">vlookup(D89, {Costs!B:B,Costs!C:C}, 2, 0)</f>
        <v>N/A</v>
      </c>
      <c r="M89" s="36" t="str">
        <f t="array" ref="M89">vlookup(D89, {Armor!C:C,Armor!E:E}, 2, 0)</f>
        <v>N/A</v>
      </c>
      <c r="N89" s="33" t="str">
        <f t="array" ref="N89">vlookup(D89, {Costs!B:B,Costs!D:D}, 2, 0)</f>
        <v>N/A</v>
      </c>
      <c r="O89" s="36" t="str">
        <f t="array" ref="O89">vlookup(D89, {Armor!C:C,Armor!F:F}, 2, 0)</f>
        <v>N/A</v>
      </c>
      <c r="P89" s="33" t="str">
        <f t="array" ref="P89">vlookup(D89, {Costs!B:B,Costs!E:E}, 2, 0)</f>
        <v>N/A</v>
      </c>
      <c r="Q89" s="36" t="str">
        <f t="array" ref="Q89">vlookup(D89, {Armor!C:C,Armor!G:G}, 2, 0)</f>
        <v>N/A</v>
      </c>
      <c r="R89" s="33" t="str">
        <f t="array" ref="R89">vlookup(D89, {Costs!B:B,Costs!F:F}, 2, 0)</f>
        <v>N/A</v>
      </c>
      <c r="S89" s="32" t="str">
        <f t="array" ref="S89">vlookup(D89, {Armor!C:C,Armor!H:H}, 2, 0)</f>
        <v>N/A</v>
      </c>
    </row>
    <row r="90" ht="60.0" customHeight="1">
      <c r="A90" s="25">
        <v>89.0</v>
      </c>
      <c r="B90" s="25" t="s">
        <v>55</v>
      </c>
      <c r="C90" s="25" t="s">
        <v>60</v>
      </c>
      <c r="D90" s="26" t="s">
        <v>166</v>
      </c>
      <c r="E90" s="27" t="str">
        <f t="array" ref="E90">vlookup(D90, {Armor!C:C,Armor!A:A}, 2, 0)</f>
        <v/>
      </c>
      <c r="F90" s="27"/>
      <c r="G90" s="27" t="s">
        <v>55</v>
      </c>
      <c r="H90" s="27" t="s">
        <v>55</v>
      </c>
      <c r="I90" s="27" t="s">
        <v>55</v>
      </c>
      <c r="J90" s="27" t="s">
        <v>55</v>
      </c>
      <c r="K90" s="29">
        <f t="array" ref="K90">vlookup(D90, {Armor!C:C,Armor!D:D}, 2, 0)</f>
        <v>3</v>
      </c>
      <c r="L90" s="27" t="str">
        <f t="array" ref="L90">vlookup(D90, {Costs!B:B,Costs!C:C}, 2, 0)</f>
        <v>N/A</v>
      </c>
      <c r="M90" s="30" t="str">
        <f t="array" ref="M90">vlookup(D90, {Armor!C:C,Armor!E:E}, 2, 0)</f>
        <v>N/A</v>
      </c>
      <c r="N90" s="27" t="str">
        <f t="array" ref="N90">vlookup(D90, {Costs!B:B,Costs!D:D}, 2, 0)</f>
        <v>N/A</v>
      </c>
      <c r="O90" s="30" t="str">
        <f t="array" ref="O90">vlookup(D90, {Armor!C:C,Armor!F:F}, 2, 0)</f>
        <v>N/A</v>
      </c>
      <c r="P90" s="27" t="str">
        <f t="array" ref="P90">vlookup(D90, {Costs!B:B,Costs!E:E}, 2, 0)</f>
        <v>N/A</v>
      </c>
      <c r="Q90" s="30" t="str">
        <f t="array" ref="Q90">vlookup(D90, {Armor!C:C,Armor!G:G}, 2, 0)</f>
        <v>N/A</v>
      </c>
      <c r="R90" s="27" t="str">
        <f t="array" ref="R90">vlookup(D90, {Costs!B:B,Costs!F:F}, 2, 0)</f>
        <v>N/A</v>
      </c>
      <c r="S90" s="26" t="str">
        <f t="array" ref="S90">vlookup(D90, {Armor!C:C,Armor!H:H}, 2, 0)</f>
        <v>N/A</v>
      </c>
    </row>
    <row r="91" ht="60.0" customHeight="1">
      <c r="A91" s="31">
        <v>90.0</v>
      </c>
      <c r="B91" s="31" t="s">
        <v>55</v>
      </c>
      <c r="C91" s="31" t="s">
        <v>60</v>
      </c>
      <c r="D91" s="32" t="s">
        <v>167</v>
      </c>
      <c r="E91" s="33" t="str">
        <f t="array" ref="E91">vlookup(D91, {Armor!C:C,Armor!A:A}, 2, 0)</f>
        <v/>
      </c>
      <c r="F91" s="33"/>
      <c r="G91" s="33" t="s">
        <v>55</v>
      </c>
      <c r="H91" s="33" t="s">
        <v>55</v>
      </c>
      <c r="I91" s="33" t="s">
        <v>55</v>
      </c>
      <c r="J91" s="33" t="s">
        <v>55</v>
      </c>
      <c r="K91" s="35">
        <f t="array" ref="K91">vlookup(D91, {Armor!C:C,Armor!D:D}, 2, 0)</f>
        <v>3</v>
      </c>
      <c r="L91" s="33" t="str">
        <f t="array" ref="L91">vlookup(D91, {Costs!B:B,Costs!C:C}, 2, 0)</f>
        <v>N/A</v>
      </c>
      <c r="M91" s="36" t="str">
        <f t="array" ref="M91">vlookup(D91, {Armor!C:C,Armor!E:E}, 2, 0)</f>
        <v>N/A</v>
      </c>
      <c r="N91" s="33" t="str">
        <f t="array" ref="N91">vlookup(D91, {Costs!B:B,Costs!D:D}, 2, 0)</f>
        <v>N/A</v>
      </c>
      <c r="O91" s="36" t="str">
        <f t="array" ref="O91">vlookup(D91, {Armor!C:C,Armor!F:F}, 2, 0)</f>
        <v>N/A</v>
      </c>
      <c r="P91" s="33" t="str">
        <f t="array" ref="P91">vlookup(D91, {Costs!B:B,Costs!E:E}, 2, 0)</f>
        <v>N/A</v>
      </c>
      <c r="Q91" s="36" t="str">
        <f t="array" ref="Q91">vlookup(D91, {Armor!C:C,Armor!G:G}, 2, 0)</f>
        <v>N/A</v>
      </c>
      <c r="R91" s="33" t="str">
        <f t="array" ref="R91">vlookup(D91, {Costs!B:B,Costs!F:F}, 2, 0)</f>
        <v>N/A</v>
      </c>
      <c r="S91" s="32" t="str">
        <f t="array" ref="S91">vlookup(D91, {Armor!C:C,Armor!H:H}, 2, 0)</f>
        <v>N/A</v>
      </c>
    </row>
    <row r="92" ht="60.0" customHeight="1">
      <c r="A92" s="25">
        <v>91.0</v>
      </c>
      <c r="B92" s="25" t="s">
        <v>55</v>
      </c>
      <c r="C92" s="25" t="s">
        <v>53</v>
      </c>
      <c r="D92" s="26" t="s">
        <v>168</v>
      </c>
      <c r="E92" s="27" t="str">
        <f t="array" ref="E92">vlookup(D92, {Armor!C:C,Armor!A:A}, 2, 0)</f>
        <v/>
      </c>
      <c r="F92" s="27"/>
      <c r="G92" s="27"/>
      <c r="H92" s="27"/>
      <c r="I92" s="27"/>
      <c r="J92" s="27"/>
      <c r="K92" s="29">
        <f t="array" ref="K92">vlookup(D92, {Armor!C:C,Armor!D:D}, 2, 0)</f>
        <v>4</v>
      </c>
      <c r="L92" s="27" t="str">
        <f t="array" ref="L92">vlookup(D92, {Costs!B:B,Costs!C:C}, 2, 0)</f>
        <v>3 Silent Princess
1 Light Dragon's Scale</v>
      </c>
      <c r="M92" s="30">
        <f t="array" ref="M92">vlookup(D92, {Armor!C:C,Armor!E:E}, 2, 0)</f>
        <v>7</v>
      </c>
      <c r="N92" s="27" t="str">
        <f t="array" ref="N92">vlookup(D92, {Costs!B:B,Costs!D:D}, 2, 0)</f>
        <v>3 Silent Princess
1 Light Dragon's Talon
2 Farosh's Horn</v>
      </c>
      <c r="O92" s="30">
        <f t="array" ref="O92">vlookup(D92, {Armor!C:C,Armor!F:F}, 2, 0)</f>
        <v>12</v>
      </c>
      <c r="P92" s="27" t="str">
        <f t="array" ref="P92">vlookup(D92, {Costs!B:B,Costs!E:E}, 2, 0)</f>
        <v>5 Silent Princess
1 Shard of Light Dragon's Fang
2 Naydra's Horn</v>
      </c>
      <c r="Q92" s="30">
        <f t="array" ref="Q92">vlookup(D92, {Armor!C:C,Armor!G:G}, 2, 0)</f>
        <v>18</v>
      </c>
      <c r="R92" s="27" t="str">
        <f t="array" ref="R92">vlookup(D92, {Costs!B:B,Costs!F:F}, 2, 0)</f>
        <v>10 Silent Princess
1 Light Dragon's Horn
2 Dinraal's Horn</v>
      </c>
      <c r="S92" s="26">
        <f t="array" ref="S92">vlookup(D92, {Armor!C:C,Armor!H:H}, 2, 0)</f>
        <v>28</v>
      </c>
    </row>
    <row r="93" ht="60.0" customHeight="1">
      <c r="A93" s="31">
        <v>92.0</v>
      </c>
      <c r="B93" s="31" t="s">
        <v>55</v>
      </c>
      <c r="C93" s="31" t="s">
        <v>53</v>
      </c>
      <c r="D93" s="32" t="s">
        <v>169</v>
      </c>
      <c r="E93" s="33" t="str">
        <f t="array" ref="E93">vlookup(D93, {Armor!C:C,Armor!A:A}, 2, 0)</f>
        <v/>
      </c>
      <c r="F93" s="33"/>
      <c r="G93" s="33"/>
      <c r="H93" s="33"/>
      <c r="I93" s="33"/>
      <c r="J93" s="33"/>
      <c r="K93" s="35">
        <f t="array" ref="K93">vlookup(D93, {Armor!C:C,Armor!D:D}, 2, 0)</f>
        <v>5</v>
      </c>
      <c r="L93" s="33" t="str">
        <f t="array" ref="L93">vlookup(D93, {Costs!B:B,Costs!C:C}, 2, 0)</f>
        <v>3 Silent Princess
2 Light Dragon's Scale</v>
      </c>
      <c r="M93" s="36">
        <f t="array" ref="M93">vlookup(D93, {Armor!C:C,Armor!E:E}, 2, 0)</f>
        <v>8</v>
      </c>
      <c r="N93" s="33" t="str">
        <f t="array" ref="N93">vlookup(D93, {Costs!B:B,Costs!D:D}, 2, 0)</f>
        <v>3 Silent Princess
2 Light Dragon's Talon
10 Sundelion</v>
      </c>
      <c r="O93" s="36">
        <f t="array" ref="O93">vlookup(D93, {Armor!C:C,Armor!F:F}, 2, 0)</f>
        <v>14</v>
      </c>
      <c r="P93" s="33" t="str">
        <f t="array" ref="P93">vlookup(D93, {Costs!B:B,Costs!E:E}, 2, 0)</f>
        <v>5 Silent Princess
2 Shard of Light Dragon's Fang
15 Sundelion</v>
      </c>
      <c r="Q93" s="36">
        <f t="array" ref="Q93">vlookup(D93, {Armor!C:C,Armor!G:G}, 2, 0)</f>
        <v>22</v>
      </c>
      <c r="R93" s="33" t="str">
        <f t="array" ref="R93">vlookup(D93, {Costs!B:B,Costs!F:F}, 2, 0)</f>
        <v>10 Silent Princess
2 Light Dragon's Horn
20 Sundelion</v>
      </c>
      <c r="S93" s="32">
        <f t="array" ref="S93">vlookup(D93, {Armor!C:C,Armor!H:H}, 2, 0)</f>
        <v>32</v>
      </c>
    </row>
    <row r="94" ht="60.0" customHeight="1">
      <c r="A94" s="25">
        <v>93.0</v>
      </c>
      <c r="B94" s="25" t="s">
        <v>55</v>
      </c>
      <c r="C94" s="25" t="s">
        <v>53</v>
      </c>
      <c r="D94" s="26" t="s">
        <v>170</v>
      </c>
      <c r="E94" s="27" t="str">
        <f t="array" ref="E94">vlookup(D94, {Armor!C:C,Armor!A:A}, 2, 0)</f>
        <v/>
      </c>
      <c r="F94" s="27"/>
      <c r="G94" s="27" t="s">
        <v>55</v>
      </c>
      <c r="H94" s="27" t="s">
        <v>55</v>
      </c>
      <c r="I94" s="27" t="s">
        <v>55</v>
      </c>
      <c r="J94" s="27" t="s">
        <v>55</v>
      </c>
      <c r="K94" s="29">
        <f t="array" ref="K94">vlookup(D94, {Armor!C:C,Armor!D:D}, 2, 0)</f>
        <v>1</v>
      </c>
      <c r="L94" s="27" t="str">
        <f t="array" ref="L94">vlookup(D94, {Costs!B:B,Costs!C:C}, 2, 0)</f>
        <v>N/A</v>
      </c>
      <c r="M94" s="30" t="str">
        <f t="array" ref="M94">vlookup(D94, {Armor!C:C,Armor!E:E}, 2, 0)</f>
        <v>N/A</v>
      </c>
      <c r="N94" s="27" t="str">
        <f t="array" ref="N94">vlookup(D94, {Costs!B:B,Costs!D:D}, 2, 0)</f>
        <v>N/A</v>
      </c>
      <c r="O94" s="30" t="str">
        <f t="array" ref="O94">vlookup(D94, {Armor!C:C,Armor!F:F}, 2, 0)</f>
        <v>N/A</v>
      </c>
      <c r="P94" s="27" t="str">
        <f t="array" ref="P94">vlookup(D94, {Costs!B:B,Costs!E:E}, 2, 0)</f>
        <v>N/A</v>
      </c>
      <c r="Q94" s="30" t="str">
        <f t="array" ref="Q94">vlookup(D94, {Armor!C:C,Armor!G:G}, 2, 0)</f>
        <v>N/A</v>
      </c>
      <c r="R94" s="27" t="str">
        <f t="array" ref="R94">vlookup(D94, {Costs!B:B,Costs!F:F}, 2, 0)</f>
        <v>N/A</v>
      </c>
      <c r="S94" s="26" t="str">
        <f t="array" ref="S94">vlookup(D94, {Armor!C:C,Armor!H:H}, 2, 0)</f>
        <v>N/A</v>
      </c>
    </row>
    <row r="95" ht="60.0" customHeight="1">
      <c r="A95" s="31">
        <v>94.0</v>
      </c>
      <c r="B95" s="31" t="s">
        <v>55</v>
      </c>
      <c r="C95" s="31" t="s">
        <v>60</v>
      </c>
      <c r="D95" s="39" t="s">
        <v>171</v>
      </c>
      <c r="E95" s="33" t="str">
        <f t="array" ref="E95">vlookup(D95, {Armor!C:C,Armor!A:A}, 2, 0)</f>
        <v/>
      </c>
      <c r="F95" s="33"/>
      <c r="G95" s="33" t="s">
        <v>55</v>
      </c>
      <c r="H95" s="33" t="s">
        <v>55</v>
      </c>
      <c r="I95" s="33" t="s">
        <v>55</v>
      </c>
      <c r="J95" s="33" t="s">
        <v>55</v>
      </c>
      <c r="K95" s="35">
        <f t="array" ref="K95">vlookup(D95, {Armor!C:C,Armor!D:D}, 2, 0)</f>
        <v>2</v>
      </c>
      <c r="L95" s="33" t="str">
        <f t="array" ref="L95">vlookup(D95, {Costs!B:B,Costs!C:C}, 2, 0)</f>
        <v>N/A</v>
      </c>
      <c r="M95" s="36" t="str">
        <f t="array" ref="M95">vlookup(D95, {Armor!C:C,Armor!E:E}, 2, 0)</f>
        <v>N/A</v>
      </c>
      <c r="N95" s="33" t="str">
        <f t="array" ref="N95">vlookup(D95, {Costs!B:B,Costs!D:D}, 2, 0)</f>
        <v>N/A</v>
      </c>
      <c r="O95" s="36" t="str">
        <f t="array" ref="O95">vlookup(D95, {Armor!C:C,Armor!F:F}, 2, 0)</f>
        <v>N/A</v>
      </c>
      <c r="P95" s="33" t="str">
        <f t="array" ref="P95">vlookup(D95, {Costs!B:B,Costs!E:E}, 2, 0)</f>
        <v>N/A</v>
      </c>
      <c r="Q95" s="36" t="str">
        <f t="array" ref="Q95">vlookup(D95, {Armor!C:C,Armor!G:G}, 2, 0)</f>
        <v>N/A</v>
      </c>
      <c r="R95" s="33" t="str">
        <f t="array" ref="R95">vlookup(D95, {Costs!B:B,Costs!F:F}, 2, 0)</f>
        <v>N/A</v>
      </c>
      <c r="S95" s="32" t="str">
        <f t="array" ref="S95">vlookup(D95, {Armor!C:C,Armor!H:H}, 2, 0)</f>
        <v>N/A</v>
      </c>
    </row>
    <row r="96" ht="60.0" customHeight="1">
      <c r="A96" s="25">
        <v>95.0</v>
      </c>
      <c r="B96" s="25" t="s">
        <v>55</v>
      </c>
      <c r="C96" s="25" t="s">
        <v>60</v>
      </c>
      <c r="D96" s="26" t="s">
        <v>172</v>
      </c>
      <c r="E96" s="27" t="str">
        <f t="array" ref="E96">vlookup(D96, {Armor!C:C,Armor!A:A}, 2, 0)</f>
        <v/>
      </c>
      <c r="F96" s="27"/>
      <c r="G96" s="27" t="s">
        <v>55</v>
      </c>
      <c r="H96" s="27" t="s">
        <v>55</v>
      </c>
      <c r="I96" s="27" t="s">
        <v>55</v>
      </c>
      <c r="J96" s="27" t="s">
        <v>55</v>
      </c>
      <c r="K96" s="29">
        <f t="array" ref="K96">vlookup(D96, {Armor!C:C,Armor!D:D}, 2, 0)</f>
        <v>3</v>
      </c>
      <c r="L96" s="27" t="str">
        <f t="array" ref="L96">vlookup(D96, {Costs!B:B,Costs!C:C}, 2, 0)</f>
        <v>N/A</v>
      </c>
      <c r="M96" s="30" t="str">
        <f t="array" ref="M96">vlookup(D96, {Armor!C:C,Armor!E:E}, 2, 0)</f>
        <v>N/A</v>
      </c>
      <c r="N96" s="27" t="str">
        <f t="array" ref="N96">vlookup(D96, {Costs!B:B,Costs!D:D}, 2, 0)</f>
        <v>N/A</v>
      </c>
      <c r="O96" s="30" t="str">
        <f t="array" ref="O96">vlookup(D96, {Armor!C:C,Armor!F:F}, 2, 0)</f>
        <v>N/A</v>
      </c>
      <c r="P96" s="27" t="str">
        <f t="array" ref="P96">vlookup(D96, {Costs!B:B,Costs!E:E}, 2, 0)</f>
        <v>N/A</v>
      </c>
      <c r="Q96" s="30" t="str">
        <f t="array" ref="Q96">vlookup(D96, {Armor!C:C,Armor!G:G}, 2, 0)</f>
        <v>N/A</v>
      </c>
      <c r="R96" s="27" t="str">
        <f t="array" ref="R96">vlookup(D96, {Costs!B:B,Costs!F:F}, 2, 0)</f>
        <v>N/A</v>
      </c>
      <c r="S96" s="26" t="str">
        <f t="array" ref="S96">vlookup(D96, {Armor!C:C,Armor!H:H}, 2, 0)</f>
        <v>N/A</v>
      </c>
    </row>
    <row r="97" ht="60.0" customHeight="1">
      <c r="A97" s="31">
        <v>96.0</v>
      </c>
      <c r="B97" s="31" t="s">
        <v>55</v>
      </c>
      <c r="C97" s="31" t="s">
        <v>60</v>
      </c>
      <c r="D97" s="32" t="s">
        <v>173</v>
      </c>
      <c r="E97" s="33" t="str">
        <f t="array" ref="E97">vlookup(D97, {Armor!C:C,Armor!A:A}, 2, 0)</f>
        <v/>
      </c>
      <c r="F97" s="33"/>
      <c r="G97" s="33" t="s">
        <v>55</v>
      </c>
      <c r="H97" s="33" t="s">
        <v>55</v>
      </c>
      <c r="I97" s="33" t="s">
        <v>55</v>
      </c>
      <c r="J97" s="33" t="s">
        <v>55</v>
      </c>
      <c r="K97" s="35">
        <f t="array" ref="K97">vlookup(D97, {Armor!C:C,Armor!D:D}, 2, 0)</f>
        <v>7</v>
      </c>
      <c r="L97" s="33" t="str">
        <f t="array" ref="L97">vlookup(D97, {Costs!B:B,Costs!C:C}, 2, 0)</f>
        <v>N/A</v>
      </c>
      <c r="M97" s="36" t="str">
        <f t="array" ref="M97">vlookup(D97, {Armor!C:C,Armor!E:E}, 2, 0)</f>
        <v>N/A</v>
      </c>
      <c r="N97" s="33" t="str">
        <f t="array" ref="N97">vlookup(D97, {Costs!B:B,Costs!D:D}, 2, 0)</f>
        <v>N/A</v>
      </c>
      <c r="O97" s="36" t="str">
        <f t="array" ref="O97">vlookup(D97, {Armor!C:C,Armor!F:F}, 2, 0)</f>
        <v>N/A</v>
      </c>
      <c r="P97" s="33" t="str">
        <f t="array" ref="P97">vlookup(D97, {Costs!B:B,Costs!E:E}, 2, 0)</f>
        <v>N/A</v>
      </c>
      <c r="Q97" s="36" t="str">
        <f t="array" ref="Q97">vlookup(D97, {Armor!C:C,Armor!G:G}, 2, 0)</f>
        <v>N/A</v>
      </c>
      <c r="R97" s="33" t="str">
        <f t="array" ref="R97">vlookup(D97, {Costs!B:B,Costs!F:F}, 2, 0)</f>
        <v>N/A</v>
      </c>
      <c r="S97" s="32" t="str">
        <f t="array" ref="S97">vlookup(D97, {Armor!C:C,Armor!H:H}, 2, 0)</f>
        <v>N/A</v>
      </c>
    </row>
    <row r="98" ht="60.0" customHeight="1">
      <c r="A98" s="25">
        <v>97.0</v>
      </c>
      <c r="B98" s="25" t="s">
        <v>55</v>
      </c>
      <c r="C98" s="25" t="s">
        <v>60</v>
      </c>
      <c r="D98" s="26" t="s">
        <v>174</v>
      </c>
      <c r="E98" s="27" t="str">
        <f t="array" ref="E98">vlookup(D98, {Armor!C:C,Armor!A:A}, 2, 0)</f>
        <v/>
      </c>
      <c r="F98" s="27"/>
      <c r="G98" s="27" t="s">
        <v>55</v>
      </c>
      <c r="H98" s="27" t="s">
        <v>55</v>
      </c>
      <c r="I98" s="27" t="s">
        <v>55</v>
      </c>
      <c r="J98" s="27" t="s">
        <v>55</v>
      </c>
      <c r="K98" s="29">
        <f t="array" ref="K98">vlookup(D98, {Armor!C:C,Armor!D:D}, 2, 0)</f>
        <v>1</v>
      </c>
      <c r="L98" s="27" t="str">
        <f t="array" ref="L98">vlookup(D98, {Costs!B:B,Costs!C:C}, 2, 0)</f>
        <v>N/A</v>
      </c>
      <c r="M98" s="30" t="str">
        <f t="array" ref="M98">vlookup(D98, {Armor!C:C,Armor!E:E}, 2, 0)</f>
        <v>N/A</v>
      </c>
      <c r="N98" s="27" t="str">
        <f t="array" ref="N98">vlookup(D98, {Costs!B:B,Costs!D:D}, 2, 0)</f>
        <v>N/A</v>
      </c>
      <c r="O98" s="30" t="str">
        <f t="array" ref="O98">vlookup(D98, {Armor!C:C,Armor!F:F}, 2, 0)</f>
        <v>N/A</v>
      </c>
      <c r="P98" s="27" t="str">
        <f t="array" ref="P98">vlookup(D98, {Costs!B:B,Costs!E:E}, 2, 0)</f>
        <v>N/A</v>
      </c>
      <c r="Q98" s="30" t="str">
        <f t="array" ref="Q98">vlookup(D98, {Armor!C:C,Armor!G:G}, 2, 0)</f>
        <v>N/A</v>
      </c>
      <c r="R98" s="27" t="str">
        <f t="array" ref="R98">vlookup(D98, {Costs!B:B,Costs!F:F}, 2, 0)</f>
        <v>N/A</v>
      </c>
      <c r="S98" s="26" t="str">
        <f t="array" ref="S98">vlookup(D98, {Armor!C:C,Armor!H:H}, 2, 0)</f>
        <v>N/A</v>
      </c>
    </row>
    <row r="99" ht="60.0" customHeight="1">
      <c r="A99" s="31">
        <v>98.0</v>
      </c>
      <c r="B99" s="31" t="s">
        <v>55</v>
      </c>
      <c r="C99" s="31" t="s">
        <v>60</v>
      </c>
      <c r="D99" s="32" t="s">
        <v>175</v>
      </c>
      <c r="E99" s="33" t="str">
        <f t="array" ref="E99">vlookup(D99, {Armor!C:C,Armor!A:A}, 2, 0)</f>
        <v/>
      </c>
      <c r="F99" s="33"/>
      <c r="G99" s="33" t="s">
        <v>55</v>
      </c>
      <c r="H99" s="33" t="s">
        <v>55</v>
      </c>
      <c r="I99" s="33" t="s">
        <v>55</v>
      </c>
      <c r="J99" s="33" t="s">
        <v>55</v>
      </c>
      <c r="K99" s="35">
        <f t="array" ref="K99">vlookup(D99, {Armor!C:C,Armor!D:D}, 2, 0)</f>
        <v>1</v>
      </c>
      <c r="L99" s="33" t="str">
        <f t="array" ref="L99">vlookup(D99, {Costs!B:B,Costs!C:C}, 2, 0)</f>
        <v>N/A</v>
      </c>
      <c r="M99" s="36" t="str">
        <f t="array" ref="M99">vlookup(D99, {Armor!C:C,Armor!E:E}, 2, 0)</f>
        <v>N/A</v>
      </c>
      <c r="N99" s="33" t="str">
        <f t="array" ref="N99">vlookup(D99, {Costs!B:B,Costs!D:D}, 2, 0)</f>
        <v>N/A</v>
      </c>
      <c r="O99" s="36" t="str">
        <f t="array" ref="O99">vlookup(D99, {Armor!C:C,Armor!F:F}, 2, 0)</f>
        <v>N/A</v>
      </c>
      <c r="P99" s="33" t="str">
        <f t="array" ref="P99">vlookup(D99, {Costs!B:B,Costs!E:E}, 2, 0)</f>
        <v>N/A</v>
      </c>
      <c r="Q99" s="36" t="str">
        <f t="array" ref="Q99">vlookup(D99, {Armor!C:C,Armor!G:G}, 2, 0)</f>
        <v>N/A</v>
      </c>
      <c r="R99" s="33" t="str">
        <f t="array" ref="R99">vlookup(D99, {Costs!B:B,Costs!F:F}, 2, 0)</f>
        <v>N/A</v>
      </c>
      <c r="S99" s="32" t="str">
        <f t="array" ref="S99">vlookup(D99, {Armor!C:C,Armor!H:H}, 2, 0)</f>
        <v>N/A</v>
      </c>
    </row>
    <row r="100" ht="60.0" customHeight="1">
      <c r="A100" s="25">
        <v>99.0</v>
      </c>
      <c r="B100" s="25" t="s">
        <v>176</v>
      </c>
      <c r="C100" s="25" t="s">
        <v>60</v>
      </c>
      <c r="D100" s="26" t="s">
        <v>177</v>
      </c>
      <c r="E100" s="27" t="str">
        <f t="array" ref="E100">vlookup(D100, {Armor!C:C,Armor!A:A}, 2, 0)</f>
        <v/>
      </c>
      <c r="F100" s="27"/>
      <c r="G100" s="27" t="s">
        <v>55</v>
      </c>
      <c r="H100" s="27" t="s">
        <v>55</v>
      </c>
      <c r="I100" s="27" t="s">
        <v>55</v>
      </c>
      <c r="J100" s="27" t="s">
        <v>55</v>
      </c>
      <c r="K100" s="29">
        <f t="array" ref="K100">vlookup(D100, {Armor!C:C,Armor!D:D}, 2, 0)</f>
        <v>2</v>
      </c>
      <c r="L100" s="27" t="str">
        <f t="array" ref="L100">vlookup(D100, {Costs!B:B,Costs!C:C}, 2, 0)</f>
        <v>N/A</v>
      </c>
      <c r="M100" s="30" t="str">
        <f t="array" ref="M100">vlookup(D100, {Armor!C:C,Armor!E:E}, 2, 0)</f>
        <v>N/A</v>
      </c>
      <c r="N100" s="27" t="str">
        <f t="array" ref="N100">vlookup(D100, {Costs!B:B,Costs!D:D}, 2, 0)</f>
        <v>N/A</v>
      </c>
      <c r="O100" s="30" t="str">
        <f t="array" ref="O100">vlookup(D100, {Armor!C:C,Armor!F:F}, 2, 0)</f>
        <v>N/A</v>
      </c>
      <c r="P100" s="27" t="str">
        <f t="array" ref="P100">vlookup(D100, {Costs!B:B,Costs!E:E}, 2, 0)</f>
        <v>N/A</v>
      </c>
      <c r="Q100" s="30" t="str">
        <f t="array" ref="Q100">vlookup(D100, {Armor!C:C,Armor!G:G}, 2, 0)</f>
        <v>N/A</v>
      </c>
      <c r="R100" s="27" t="str">
        <f t="array" ref="R100">vlookup(D100, {Costs!B:B,Costs!F:F}, 2, 0)</f>
        <v>N/A</v>
      </c>
      <c r="S100" s="26" t="str">
        <f t="array" ref="S100">vlookup(D100, {Armor!C:C,Armor!H:H}, 2, 0)</f>
        <v>N/A</v>
      </c>
    </row>
    <row r="101" ht="60.0" customHeight="1">
      <c r="A101" s="31">
        <v>100.0</v>
      </c>
      <c r="B101" s="31" t="s">
        <v>176</v>
      </c>
      <c r="C101" s="31" t="s">
        <v>53</v>
      </c>
      <c r="D101" s="26" t="s">
        <v>178</v>
      </c>
      <c r="E101" s="33" t="str">
        <f t="array" ref="E101">vlookup(D101, {Armor!C:C,Armor!A:A}, 2, 0)</f>
        <v/>
      </c>
      <c r="F101" s="33"/>
      <c r="G101" s="33" t="s">
        <v>55</v>
      </c>
      <c r="H101" s="33" t="s">
        <v>55</v>
      </c>
      <c r="I101" s="33" t="s">
        <v>55</v>
      </c>
      <c r="J101" s="33" t="s">
        <v>55</v>
      </c>
      <c r="K101" s="35">
        <f t="array" ref="K101">vlookup(D101, {Armor!C:C,Armor!D:D}, 2, 0)</f>
        <v>2</v>
      </c>
      <c r="L101" s="33" t="str">
        <f t="array" ref="L101">vlookup(D101, {Costs!B:B,Costs!C:C}, 2, 0)</f>
        <v>N/A</v>
      </c>
      <c r="M101" s="36" t="str">
        <f t="array" ref="M101">vlookup(D101, {Armor!C:C,Armor!E:E}, 2, 0)</f>
        <v>N/A</v>
      </c>
      <c r="N101" s="33" t="str">
        <f t="array" ref="N101">vlookup(D101, {Costs!B:B,Costs!D:D}, 2, 0)</f>
        <v>N/A</v>
      </c>
      <c r="O101" s="36" t="str">
        <f t="array" ref="O101">vlookup(D101, {Armor!C:C,Armor!F:F}, 2, 0)</f>
        <v>N/A</v>
      </c>
      <c r="P101" s="33" t="str">
        <f t="array" ref="P101">vlookup(D101, {Costs!B:B,Costs!E:E}, 2, 0)</f>
        <v>N/A</v>
      </c>
      <c r="Q101" s="36" t="str">
        <f t="array" ref="Q101">vlookup(D101, {Armor!C:C,Armor!G:G}, 2, 0)</f>
        <v>N/A</v>
      </c>
      <c r="R101" s="33" t="str">
        <f t="array" ref="R101">vlookup(D101, {Costs!B:B,Costs!F:F}, 2, 0)</f>
        <v>N/A</v>
      </c>
      <c r="S101" s="32" t="str">
        <f t="array" ref="S101">vlookup(D101, {Armor!C:C,Armor!H:H}, 2, 0)</f>
        <v>N/A</v>
      </c>
    </row>
    <row r="102" ht="60.0" customHeight="1">
      <c r="A102" s="25">
        <v>101.0</v>
      </c>
      <c r="B102" s="25" t="s">
        <v>176</v>
      </c>
      <c r="C102" s="25" t="s">
        <v>56</v>
      </c>
      <c r="D102" s="26" t="s">
        <v>179</v>
      </c>
      <c r="E102" s="27" t="str">
        <f t="array" ref="E102">vlookup(D102, {Armor!C:C,Armor!A:A}, 2, 0)</f>
        <v/>
      </c>
      <c r="F102" s="27"/>
      <c r="G102" s="27" t="s">
        <v>55</v>
      </c>
      <c r="H102" s="27" t="s">
        <v>55</v>
      </c>
      <c r="I102" s="27" t="s">
        <v>55</v>
      </c>
      <c r="J102" s="27" t="s">
        <v>55</v>
      </c>
      <c r="K102" s="29">
        <f t="array" ref="K102">vlookup(D102, {Armor!C:C,Armor!D:D}, 2, 0)</f>
        <v>2</v>
      </c>
      <c r="L102" s="27" t="str">
        <f t="array" ref="L102">vlookup(D102, {Costs!B:B,Costs!C:C}, 2, 0)</f>
        <v>N/A</v>
      </c>
      <c r="M102" s="30" t="str">
        <f t="array" ref="M102">vlookup(D102, {Armor!C:C,Armor!E:E}, 2, 0)</f>
        <v>N/A</v>
      </c>
      <c r="N102" s="27" t="str">
        <f t="array" ref="N102">vlookup(D102, {Costs!B:B,Costs!D:D}, 2, 0)</f>
        <v>N/A</v>
      </c>
      <c r="O102" s="30" t="str">
        <f t="array" ref="O102">vlookup(D102, {Armor!C:C,Armor!F:F}, 2, 0)</f>
        <v>N/A</v>
      </c>
      <c r="P102" s="27" t="str">
        <f t="array" ref="P102">vlookup(D102, {Costs!B:B,Costs!E:E}, 2, 0)</f>
        <v>N/A</v>
      </c>
      <c r="Q102" s="30" t="str">
        <f t="array" ref="Q102">vlookup(D102, {Armor!C:C,Armor!G:G}, 2, 0)</f>
        <v>N/A</v>
      </c>
      <c r="R102" s="27" t="str">
        <f t="array" ref="R102">vlookup(D102, {Costs!B:B,Costs!F:F}, 2, 0)</f>
        <v>N/A</v>
      </c>
      <c r="S102" s="26" t="str">
        <f t="array" ref="S102">vlookup(D102, {Armor!C:C,Armor!H:H}, 2, 0)</f>
        <v>N/A</v>
      </c>
    </row>
    <row r="103" ht="60.0" customHeight="1">
      <c r="A103" s="31">
        <v>102.0</v>
      </c>
      <c r="B103" s="31" t="s">
        <v>180</v>
      </c>
      <c r="C103" s="31" t="s">
        <v>60</v>
      </c>
      <c r="D103" s="39" t="s">
        <v>181</v>
      </c>
      <c r="E103" s="33" t="str">
        <f t="array" ref="E103">vlookup(D103, {Armor!C:C,Armor!A:A}, 2, 0)</f>
        <v/>
      </c>
      <c r="F103" s="33"/>
      <c r="G103" s="33" t="s">
        <v>55</v>
      </c>
      <c r="H103" s="33" t="s">
        <v>55</v>
      </c>
      <c r="I103" s="33" t="s">
        <v>55</v>
      </c>
      <c r="J103" s="33" t="s">
        <v>55</v>
      </c>
      <c r="K103" s="35">
        <f t="array" ref="K103">vlookup(D103, {Armor!C:C,Armor!D:D}, 2, 0)</f>
        <v>8</v>
      </c>
      <c r="L103" s="33" t="str">
        <f t="array" ref="L103">vlookup(D103, {Costs!B:B,Costs!C:C}, 2, 0)</f>
        <v>N/A</v>
      </c>
      <c r="M103" s="36" t="str">
        <f t="array" ref="M103">vlookup(D103, {Armor!C:C,Armor!E:E}, 2, 0)</f>
        <v>N/A</v>
      </c>
      <c r="N103" s="33" t="str">
        <f t="array" ref="N103">vlookup(D103, {Costs!B:B,Costs!D:D}, 2, 0)</f>
        <v>N/A</v>
      </c>
      <c r="O103" s="36" t="str">
        <f t="array" ref="O103">vlookup(D103, {Armor!C:C,Armor!F:F}, 2, 0)</f>
        <v>N/A</v>
      </c>
      <c r="P103" s="33" t="str">
        <f t="array" ref="P103">vlookup(D103, {Costs!B:B,Costs!E:E}, 2, 0)</f>
        <v>N/A</v>
      </c>
      <c r="Q103" s="36" t="str">
        <f t="array" ref="Q103">vlookup(D103, {Armor!C:C,Armor!G:G}, 2, 0)</f>
        <v>N/A</v>
      </c>
      <c r="R103" s="33" t="str">
        <f t="array" ref="R103">vlookup(D103, {Costs!B:B,Costs!F:F}, 2, 0)</f>
        <v>N/A</v>
      </c>
      <c r="S103" s="32" t="str">
        <f t="array" ref="S103">vlookup(D103, {Armor!C:C,Armor!H:H}, 2, 0)</f>
        <v>N/A</v>
      </c>
    </row>
    <row r="104" ht="60.0" customHeight="1">
      <c r="A104" s="25">
        <v>103.0</v>
      </c>
      <c r="B104" s="25" t="s">
        <v>180</v>
      </c>
      <c r="C104" s="25" t="s">
        <v>53</v>
      </c>
      <c r="D104" s="26" t="s">
        <v>182</v>
      </c>
      <c r="E104" s="27" t="str">
        <f t="array" ref="E104">vlookup(D104, {Armor!C:C,Armor!A:A}, 2, 0)</f>
        <v/>
      </c>
      <c r="F104" s="27"/>
      <c r="G104" s="27" t="s">
        <v>55</v>
      </c>
      <c r="H104" s="27" t="s">
        <v>55</v>
      </c>
      <c r="I104" s="27" t="s">
        <v>55</v>
      </c>
      <c r="J104" s="27" t="s">
        <v>55</v>
      </c>
      <c r="K104" s="29">
        <f t="array" ref="K104">vlookup(D104, {Armor!C:C,Armor!D:D}, 2, 0)</f>
        <v>8</v>
      </c>
      <c r="L104" s="27" t="str">
        <f t="array" ref="L104">vlookup(D104, {Costs!B:B,Costs!C:C}, 2, 0)</f>
        <v>N/A</v>
      </c>
      <c r="M104" s="30" t="str">
        <f t="array" ref="M104">vlookup(D104, {Armor!C:C,Armor!E:E}, 2, 0)</f>
        <v>N/A</v>
      </c>
      <c r="N104" s="27" t="str">
        <f t="array" ref="N104">vlookup(D104, {Costs!B:B,Costs!D:D}, 2, 0)</f>
        <v>N/A</v>
      </c>
      <c r="O104" s="30" t="str">
        <f t="array" ref="O104">vlookup(D104, {Armor!C:C,Armor!F:F}, 2, 0)</f>
        <v>N/A</v>
      </c>
      <c r="P104" s="27" t="str">
        <f t="array" ref="P104">vlookup(D104, {Costs!B:B,Costs!E:E}, 2, 0)</f>
        <v>N/A</v>
      </c>
      <c r="Q104" s="30" t="str">
        <f t="array" ref="Q104">vlookup(D104, {Armor!C:C,Armor!G:G}, 2, 0)</f>
        <v>N/A</v>
      </c>
      <c r="R104" s="27" t="str">
        <f t="array" ref="R104">vlookup(D104, {Costs!B:B,Costs!F:F}, 2, 0)</f>
        <v>N/A</v>
      </c>
      <c r="S104" s="26" t="str">
        <f t="array" ref="S104">vlookup(D104, {Armor!C:C,Armor!H:H}, 2, 0)</f>
        <v>N/A</v>
      </c>
    </row>
    <row r="105" ht="60.0" customHeight="1">
      <c r="A105" s="31">
        <v>104.0</v>
      </c>
      <c r="B105" s="31" t="s">
        <v>180</v>
      </c>
      <c r="C105" s="31" t="s">
        <v>56</v>
      </c>
      <c r="D105" s="32" t="s">
        <v>183</v>
      </c>
      <c r="E105" s="33" t="str">
        <f t="array" ref="E105">vlookup(D105, {Armor!C:C,Armor!A:A}, 2, 0)</f>
        <v/>
      </c>
      <c r="F105" s="33"/>
      <c r="G105" s="33" t="s">
        <v>55</v>
      </c>
      <c r="H105" s="33" t="s">
        <v>55</v>
      </c>
      <c r="I105" s="33" t="s">
        <v>55</v>
      </c>
      <c r="J105" s="33" t="s">
        <v>55</v>
      </c>
      <c r="K105" s="35">
        <f t="array" ref="K105">vlookup(D105, {Armor!C:C,Armor!D:D}, 2, 0)</f>
        <v>8</v>
      </c>
      <c r="L105" s="33" t="str">
        <f t="array" ref="L105">vlookup(D105, {Costs!B:B,Costs!C:C}, 2, 0)</f>
        <v>N/A</v>
      </c>
      <c r="M105" s="36" t="str">
        <f t="array" ref="M105">vlookup(D105, {Armor!C:C,Armor!E:E}, 2, 0)</f>
        <v>N/A</v>
      </c>
      <c r="N105" s="33" t="str">
        <f t="array" ref="N105">vlookup(D105, {Costs!B:B,Costs!D:D}, 2, 0)</f>
        <v>N/A</v>
      </c>
      <c r="O105" s="36" t="str">
        <f t="array" ref="O105">vlookup(D105, {Armor!C:C,Armor!F:F}, 2, 0)</f>
        <v>N/A</v>
      </c>
      <c r="P105" s="33" t="str">
        <f t="array" ref="P105">vlookup(D105, {Costs!B:B,Costs!E:E}, 2, 0)</f>
        <v>N/A</v>
      </c>
      <c r="Q105" s="36" t="str">
        <f t="array" ref="Q105">vlookup(D105, {Armor!C:C,Armor!G:G}, 2, 0)</f>
        <v>N/A</v>
      </c>
      <c r="R105" s="33" t="str">
        <f t="array" ref="R105">vlookup(D105, {Costs!B:B,Costs!F:F}, 2, 0)</f>
        <v>N/A</v>
      </c>
      <c r="S105" s="32" t="str">
        <f t="array" ref="S105">vlookup(D105, {Armor!C:C,Armor!H:H}, 2, 0)</f>
        <v>N/A</v>
      </c>
    </row>
    <row r="106" ht="60.0" customHeight="1">
      <c r="A106" s="25">
        <v>105.0</v>
      </c>
      <c r="B106" s="25" t="s">
        <v>184</v>
      </c>
      <c r="C106" s="25" t="s">
        <v>60</v>
      </c>
      <c r="D106" s="26" t="s">
        <v>185</v>
      </c>
      <c r="E106" s="27" t="str">
        <f t="array" ref="E106">vlookup(D106, {Armor!C:C,Armor!A:A}, 2, 0)</f>
        <v/>
      </c>
      <c r="F106" s="27"/>
      <c r="G106" s="27" t="s">
        <v>55</v>
      </c>
      <c r="H106" s="27" t="s">
        <v>55</v>
      </c>
      <c r="I106" s="27" t="s">
        <v>55</v>
      </c>
      <c r="J106" s="27" t="s">
        <v>55</v>
      </c>
      <c r="K106" s="29">
        <f t="array" ref="K106">vlookup(D106, {Armor!C:C,Armor!D:D}, 2, 0)</f>
        <v>4</v>
      </c>
      <c r="L106" s="27" t="str">
        <f t="array" ref="L106">vlookup(D106, {Costs!B:B,Costs!C:C}, 2, 0)</f>
        <v>N/A</v>
      </c>
      <c r="M106" s="30" t="str">
        <f t="array" ref="M106">vlookup(D106, {Armor!C:C,Armor!E:E}, 2, 0)</f>
        <v>N/A</v>
      </c>
      <c r="N106" s="27" t="str">
        <f t="array" ref="N106">vlookup(D106, {Costs!B:B,Costs!D:D}, 2, 0)</f>
        <v>N/A</v>
      </c>
      <c r="O106" s="30" t="str">
        <f t="array" ref="O106">vlookup(D106, {Armor!C:C,Armor!F:F}, 2, 0)</f>
        <v>N/A</v>
      </c>
      <c r="P106" s="27" t="str">
        <f t="array" ref="P106">vlookup(D106, {Costs!B:B,Costs!E:E}, 2, 0)</f>
        <v>N/A</v>
      </c>
      <c r="Q106" s="30" t="str">
        <f t="array" ref="Q106">vlookup(D106, {Armor!C:C,Armor!G:G}, 2, 0)</f>
        <v>N/A</v>
      </c>
      <c r="R106" s="27" t="str">
        <f t="array" ref="R106">vlookup(D106, {Costs!B:B,Costs!F:F}, 2, 0)</f>
        <v>N/A</v>
      </c>
      <c r="S106" s="26" t="str">
        <f t="array" ref="S106">vlookup(D106, {Armor!C:C,Armor!H:H}, 2, 0)</f>
        <v>N/A</v>
      </c>
    </row>
    <row r="107" ht="60.0" customHeight="1">
      <c r="A107" s="31">
        <v>106.0</v>
      </c>
      <c r="B107" s="31" t="s">
        <v>184</v>
      </c>
      <c r="C107" s="31" t="s">
        <v>53</v>
      </c>
      <c r="D107" s="32" t="s">
        <v>186</v>
      </c>
      <c r="E107" s="33" t="str">
        <f t="array" ref="E107">vlookup(D107, {Armor!C:C,Armor!A:A}, 2, 0)</f>
        <v/>
      </c>
      <c r="F107" s="33"/>
      <c r="G107" s="33" t="s">
        <v>55</v>
      </c>
      <c r="H107" s="33" t="s">
        <v>55</v>
      </c>
      <c r="I107" s="33" t="s">
        <v>55</v>
      </c>
      <c r="J107" s="33" t="s">
        <v>55</v>
      </c>
      <c r="K107" s="35">
        <f t="array" ref="K107">vlookup(D107, {Armor!C:C,Armor!D:D}, 2, 0)</f>
        <v>4</v>
      </c>
      <c r="L107" s="33" t="str">
        <f t="array" ref="L107">vlookup(D107, {Costs!B:B,Costs!C:C}, 2, 0)</f>
        <v>N/A</v>
      </c>
      <c r="M107" s="36" t="str">
        <f t="array" ref="M107">vlookup(D107, {Armor!C:C,Armor!E:E}, 2, 0)</f>
        <v>N/A</v>
      </c>
      <c r="N107" s="33" t="str">
        <f t="array" ref="N107">vlookup(D107, {Costs!B:B,Costs!D:D}, 2, 0)</f>
        <v>N/A</v>
      </c>
      <c r="O107" s="36" t="str">
        <f t="array" ref="O107">vlookup(D107, {Armor!C:C,Armor!F:F}, 2, 0)</f>
        <v>N/A</v>
      </c>
      <c r="P107" s="33" t="str">
        <f t="array" ref="P107">vlookup(D107, {Costs!B:B,Costs!E:E}, 2, 0)</f>
        <v>N/A</v>
      </c>
      <c r="Q107" s="36" t="str">
        <f t="array" ref="Q107">vlookup(D107, {Armor!C:C,Armor!G:G}, 2, 0)</f>
        <v>N/A</v>
      </c>
      <c r="R107" s="33" t="str">
        <f t="array" ref="R107">vlookup(D107, {Costs!B:B,Costs!F:F}, 2, 0)</f>
        <v>N/A</v>
      </c>
      <c r="S107" s="32" t="str">
        <f t="array" ref="S107">vlookup(D107, {Armor!C:C,Armor!H:H}, 2, 0)</f>
        <v>N/A</v>
      </c>
    </row>
    <row r="108" ht="60.0" customHeight="1">
      <c r="A108" s="25">
        <v>107.0</v>
      </c>
      <c r="B108" s="25" t="s">
        <v>184</v>
      </c>
      <c r="C108" s="25" t="s">
        <v>56</v>
      </c>
      <c r="D108" s="26" t="s">
        <v>187</v>
      </c>
      <c r="E108" s="27" t="str">
        <f t="array" ref="E108">vlookup(D108, {Armor!C:C,Armor!A:A}, 2, 0)</f>
        <v/>
      </c>
      <c r="F108" s="27"/>
      <c r="G108" s="27" t="s">
        <v>55</v>
      </c>
      <c r="H108" s="27" t="s">
        <v>55</v>
      </c>
      <c r="I108" s="27" t="s">
        <v>55</v>
      </c>
      <c r="J108" s="27" t="s">
        <v>55</v>
      </c>
      <c r="K108" s="29">
        <f t="array" ref="K108">vlookup(D108, {Armor!C:C,Armor!D:D}, 2, 0)</f>
        <v>4</v>
      </c>
      <c r="L108" s="27" t="str">
        <f t="array" ref="L108">vlookup(D108, {Costs!B:B,Costs!C:C}, 2, 0)</f>
        <v>N/A</v>
      </c>
      <c r="M108" s="30" t="str">
        <f t="array" ref="M108">vlookup(D108, {Armor!C:C,Armor!E:E}, 2, 0)</f>
        <v>N/A</v>
      </c>
      <c r="N108" s="27" t="str">
        <f t="array" ref="N108">vlookup(D108, {Costs!B:B,Costs!D:D}, 2, 0)</f>
        <v>N/A</v>
      </c>
      <c r="O108" s="30" t="str">
        <f t="array" ref="O108">vlookup(D108, {Armor!C:C,Armor!F:F}, 2, 0)</f>
        <v>N/A</v>
      </c>
      <c r="P108" s="27" t="str">
        <f t="array" ref="P108">vlookup(D108, {Costs!B:B,Costs!E:E}, 2, 0)</f>
        <v>N/A</v>
      </c>
      <c r="Q108" s="30" t="str">
        <f t="array" ref="Q108">vlookup(D108, {Armor!C:C,Armor!G:G}, 2, 0)</f>
        <v>N/A</v>
      </c>
      <c r="R108" s="27" t="str">
        <f t="array" ref="R108">vlookup(D108, {Costs!B:B,Costs!F:F}, 2, 0)</f>
        <v>N/A</v>
      </c>
      <c r="S108" s="26" t="str">
        <f t="array" ref="S108">vlookup(D108, {Armor!C:C,Armor!H:H}, 2, 0)</f>
        <v>N/A</v>
      </c>
    </row>
    <row r="109" ht="60.0" customHeight="1">
      <c r="A109" s="31">
        <v>108.0</v>
      </c>
      <c r="B109" s="31" t="s">
        <v>55</v>
      </c>
      <c r="C109" s="31" t="s">
        <v>60</v>
      </c>
      <c r="D109" s="32" t="s">
        <v>188</v>
      </c>
      <c r="E109" s="33" t="str">
        <f t="array" ref="E109">vlookup(D109, {Armor!C:C,Armor!A:A}, 2, 0)</f>
        <v/>
      </c>
      <c r="F109" s="33"/>
      <c r="G109" s="33"/>
      <c r="H109" s="33"/>
      <c r="I109" s="33"/>
      <c r="J109" s="33"/>
      <c r="K109" s="35">
        <f t="array" ref="K109">vlookup(D109, {Armor!C:C,Armor!D:D}, 2, 0)</f>
        <v>2</v>
      </c>
      <c r="L109" s="33" t="str">
        <f t="array" ref="L109">vlookup(D109, {Costs!B:B,Costs!C:C}, 2, 0)</f>
        <v>1 Silent Princess
1 Star Fragment</v>
      </c>
      <c r="M109" s="36">
        <f t="array" ref="M109">vlookup(D109, {Armor!C:C,Armor!E:E}, 2, 0)</f>
        <v>4</v>
      </c>
      <c r="N109" s="33" t="str">
        <f t="array" ref="N109">vlookup(D109, {Costs!B:B,Costs!D:D}, 2, 0)</f>
        <v>2 Silent Princess
2 Star Fragment</v>
      </c>
      <c r="O109" s="36">
        <f t="array" ref="O109">vlookup(D109, {Armor!C:C,Armor!F:F}, 2, 0)</f>
        <v>6</v>
      </c>
      <c r="P109" s="33" t="str">
        <f t="array" ref="P109">vlookup(D109, {Costs!B:B,Costs!E:E}, 2, 0)</f>
        <v>4 Silent Princess
3 Star Fragment</v>
      </c>
      <c r="Q109" s="36">
        <f t="array" ref="Q109">vlookup(D109, {Armor!C:C,Armor!G:G}, 2, 0)</f>
        <v>9</v>
      </c>
      <c r="R109" s="33" t="str">
        <f t="array" ref="R109">vlookup(D109, {Costs!B:B,Costs!F:F}, 2, 0)</f>
        <v>8 Silent Princess
4 Star Fragment</v>
      </c>
      <c r="S109" s="32">
        <f t="array" ref="S109">vlookup(D109, {Armor!C:C,Armor!H:H}, 2, 0)</f>
        <v>16</v>
      </c>
    </row>
    <row r="110" ht="60.0" customHeight="1">
      <c r="A110" s="25">
        <v>109.0</v>
      </c>
      <c r="B110" s="25" t="s">
        <v>189</v>
      </c>
      <c r="C110" s="25" t="s">
        <v>60</v>
      </c>
      <c r="D110" s="26" t="s">
        <v>190</v>
      </c>
      <c r="E110" s="27" t="str">
        <f t="array" ref="E110">vlookup(D110, {Armor!C:C,Armor!A:A}, 2, 0)</f>
        <v/>
      </c>
      <c r="F110" s="27"/>
      <c r="G110" s="27" t="s">
        <v>55</v>
      </c>
      <c r="H110" s="27" t="s">
        <v>55</v>
      </c>
      <c r="I110" s="27" t="s">
        <v>55</v>
      </c>
      <c r="J110" s="27" t="s">
        <v>55</v>
      </c>
      <c r="K110" s="29">
        <f t="array" ref="K110">vlookup(D110, {Armor!C:C,Armor!D:D}, 2, 0)</f>
        <v>3</v>
      </c>
      <c r="L110" s="27" t="str">
        <f t="array" ref="L110">vlookup(D110, {Costs!B:B,Costs!C:C}, 2, 0)</f>
        <v>N/A</v>
      </c>
      <c r="M110" s="30" t="str">
        <f t="array" ref="M110">vlookup(D110, {Armor!C:C,Armor!E:E}, 2, 0)</f>
        <v>N/A</v>
      </c>
      <c r="N110" s="27" t="str">
        <f t="array" ref="N110">vlookup(D110, {Costs!B:B,Costs!D:D}, 2, 0)</f>
        <v>N/A</v>
      </c>
      <c r="O110" s="30" t="str">
        <f t="array" ref="O110">vlookup(D110, {Armor!C:C,Armor!F:F}, 2, 0)</f>
        <v>N/A</v>
      </c>
      <c r="P110" s="27" t="str">
        <f t="array" ref="P110">vlookup(D110, {Costs!B:B,Costs!E:E}, 2, 0)</f>
        <v>N/A</v>
      </c>
      <c r="Q110" s="30" t="str">
        <f t="array" ref="Q110">vlookup(D110, {Armor!C:C,Armor!G:G}, 2, 0)</f>
        <v>N/A</v>
      </c>
      <c r="R110" s="27" t="str">
        <f t="array" ref="R110">vlookup(D110, {Costs!B:B,Costs!F:F}, 2, 0)</f>
        <v>N/A</v>
      </c>
      <c r="S110" s="26" t="str">
        <f t="array" ref="S110">vlookup(D110, {Armor!C:C,Armor!H:H}, 2, 0)</f>
        <v>N/A</v>
      </c>
    </row>
    <row r="111" ht="60.0" customHeight="1">
      <c r="A111" s="31">
        <v>110.0</v>
      </c>
      <c r="B111" s="31" t="s">
        <v>189</v>
      </c>
      <c r="C111" s="31" t="s">
        <v>53</v>
      </c>
      <c r="D111" s="32" t="s">
        <v>191</v>
      </c>
      <c r="E111" s="33" t="str">
        <f t="array" ref="E111">vlookup(D111, {Armor!C:C,Armor!A:A}, 2, 0)</f>
        <v/>
      </c>
      <c r="F111" s="33"/>
      <c r="G111" s="33" t="s">
        <v>55</v>
      </c>
      <c r="H111" s="33" t="s">
        <v>55</v>
      </c>
      <c r="I111" s="33" t="s">
        <v>55</v>
      </c>
      <c r="J111" s="33" t="s">
        <v>55</v>
      </c>
      <c r="K111" s="35">
        <f t="array" ref="K111">vlookup(D111, {Armor!C:C,Armor!D:D}, 2, 0)</f>
        <v>3</v>
      </c>
      <c r="L111" s="33" t="str">
        <f t="array" ref="L111">vlookup(D111, {Costs!B:B,Costs!C:C}, 2, 0)</f>
        <v>N/A</v>
      </c>
      <c r="M111" s="36" t="str">
        <f t="array" ref="M111">vlookup(D111, {Armor!C:C,Armor!E:E}, 2, 0)</f>
        <v>N/A</v>
      </c>
      <c r="N111" s="33" t="str">
        <f t="array" ref="N111">vlookup(D111, {Costs!B:B,Costs!D:D}, 2, 0)</f>
        <v>N/A</v>
      </c>
      <c r="O111" s="36" t="str">
        <f t="array" ref="O111">vlookup(D111, {Armor!C:C,Armor!F:F}, 2, 0)</f>
        <v>N/A</v>
      </c>
      <c r="P111" s="33" t="str">
        <f t="array" ref="P111">vlookup(D111, {Costs!B:B,Costs!E:E}, 2, 0)</f>
        <v>N/A</v>
      </c>
      <c r="Q111" s="36" t="str">
        <f t="array" ref="Q111">vlookup(D111, {Armor!C:C,Armor!G:G}, 2, 0)</f>
        <v>N/A</v>
      </c>
      <c r="R111" s="33" t="str">
        <f t="array" ref="R111">vlookup(D111, {Costs!B:B,Costs!F:F}, 2, 0)</f>
        <v>N/A</v>
      </c>
      <c r="S111" s="32" t="str">
        <f t="array" ref="S111">vlookup(D111, {Armor!C:C,Armor!H:H}, 2, 0)</f>
        <v>N/A</v>
      </c>
    </row>
    <row r="112" ht="60.0" customHeight="1">
      <c r="A112" s="25">
        <v>111.0</v>
      </c>
      <c r="B112" s="25" t="s">
        <v>189</v>
      </c>
      <c r="C112" s="25" t="s">
        <v>56</v>
      </c>
      <c r="D112" s="26" t="s">
        <v>192</v>
      </c>
      <c r="E112" s="27" t="str">
        <f t="array" ref="E112">vlookup(D112, {Armor!C:C,Armor!A:A}, 2, 0)</f>
        <v/>
      </c>
      <c r="F112" s="27"/>
      <c r="G112" s="27" t="s">
        <v>55</v>
      </c>
      <c r="H112" s="27" t="s">
        <v>55</v>
      </c>
      <c r="I112" s="27" t="s">
        <v>55</v>
      </c>
      <c r="J112" s="27" t="s">
        <v>55</v>
      </c>
      <c r="K112" s="29">
        <f t="array" ref="K112">vlookup(D112, {Armor!C:C,Armor!D:D}, 2, 0)</f>
        <v>3</v>
      </c>
      <c r="L112" s="27" t="str">
        <f t="array" ref="L112">vlookup(D112, {Costs!B:B,Costs!C:C}, 2, 0)</f>
        <v>N/A</v>
      </c>
      <c r="M112" s="30" t="str">
        <f t="array" ref="M112">vlookup(D112, {Armor!C:C,Armor!E:E}, 2, 0)</f>
        <v>N/A</v>
      </c>
      <c r="N112" s="27" t="str">
        <f t="array" ref="N112">vlookup(D112, {Costs!B:B,Costs!D:D}, 2, 0)</f>
        <v>N/A</v>
      </c>
      <c r="O112" s="30" t="str">
        <f t="array" ref="O112">vlookup(D112, {Armor!C:C,Armor!F:F}, 2, 0)</f>
        <v>N/A</v>
      </c>
      <c r="P112" s="27" t="str">
        <f t="array" ref="P112">vlookup(D112, {Costs!B:B,Costs!E:E}, 2, 0)</f>
        <v>N/A</v>
      </c>
      <c r="Q112" s="30" t="str">
        <f t="array" ref="Q112">vlookup(D112, {Armor!C:C,Armor!G:G}, 2, 0)</f>
        <v>N/A</v>
      </c>
      <c r="R112" s="27" t="str">
        <f t="array" ref="R112">vlookup(D112, {Costs!B:B,Costs!F:F}, 2, 0)</f>
        <v>N/A</v>
      </c>
      <c r="S112" s="26" t="str">
        <f t="array" ref="S112">vlookup(D112, {Armor!C:C,Armor!H:H}, 2, 0)</f>
        <v>N/A</v>
      </c>
    </row>
    <row r="113" ht="60.0" customHeight="1">
      <c r="A113" s="31">
        <v>112.0</v>
      </c>
      <c r="B113" s="31" t="s">
        <v>193</v>
      </c>
      <c r="C113" s="31" t="s">
        <v>60</v>
      </c>
      <c r="D113" s="32" t="s">
        <v>194</v>
      </c>
      <c r="E113" s="33" t="str">
        <f t="array" ref="E113">vlookup(D113, {Armor!C:C,Armor!A:A}, 2, 0)</f>
        <v/>
      </c>
      <c r="F113" s="33"/>
      <c r="G113" s="33"/>
      <c r="H113" s="33"/>
      <c r="I113" s="33"/>
      <c r="J113" s="33"/>
      <c r="K113" s="35">
        <f t="array" ref="K113">vlookup(D113, {Armor!C:C,Armor!D:D}, 2, 0)</f>
        <v>3</v>
      </c>
      <c r="L113" s="33" t="str">
        <f t="array" ref="L113">vlookup(D113, {Costs!B:B,Costs!C:C}, 2, 0)</f>
        <v>5 Hinox Toenail
1 Dinraal's Scale</v>
      </c>
      <c r="M113" s="36">
        <f t="array" ref="M113">vlookup(D113, {Armor!C:C,Armor!E:E}, 2, 0)</f>
        <v>5</v>
      </c>
      <c r="N113" s="33" t="str">
        <f t="array" ref="N113">vlookup(D113, {Costs!B:B,Costs!D:D}, 2, 0)</f>
        <v>5 Hinox Tooth
1 Dinraal's Claw</v>
      </c>
      <c r="O113" s="36">
        <f t="array" ref="O113">vlookup(D113, {Armor!C:C,Armor!F:F}, 2, 0)</f>
        <v>8</v>
      </c>
      <c r="P113" s="33" t="str">
        <f t="array" ref="P113">vlookup(D113, {Costs!B:B,Costs!E:E}, 2, 0)</f>
        <v>2 Hinox Guts
1 Shard of Dinraal's Fang</v>
      </c>
      <c r="Q113" s="36">
        <f t="array" ref="Q113">vlookup(D113, {Armor!C:C,Armor!G:G}, 2, 0)</f>
        <v>12</v>
      </c>
      <c r="R113" s="33" t="str">
        <f t="array" ref="R113">vlookup(D113, {Costs!B:B,Costs!F:F}, 2, 0)</f>
        <v>2 Lynel Guts
1 Dinraal's Horn</v>
      </c>
      <c r="S113" s="32">
        <f t="array" ref="S113">vlookup(D113, {Armor!C:C,Armor!H:H}, 2, 0)</f>
        <v>20</v>
      </c>
    </row>
    <row r="114" ht="60.0" customHeight="1">
      <c r="A114" s="25">
        <v>113.0</v>
      </c>
      <c r="B114" s="25" t="s">
        <v>193</v>
      </c>
      <c r="C114" s="25" t="s">
        <v>53</v>
      </c>
      <c r="D114" s="26" t="s">
        <v>195</v>
      </c>
      <c r="E114" s="27" t="str">
        <f t="array" ref="E114">vlookup(D114, {Armor!C:C,Armor!A:A}, 2, 0)</f>
        <v/>
      </c>
      <c r="F114" s="27"/>
      <c r="G114" s="27"/>
      <c r="H114" s="27"/>
      <c r="I114" s="27"/>
      <c r="J114" s="27"/>
      <c r="K114" s="29">
        <f t="array" ref="K114">vlookup(D114, {Armor!C:C,Armor!D:D}, 2, 0)</f>
        <v>3</v>
      </c>
      <c r="L114" s="27" t="str">
        <f t="array" ref="L114">vlookup(D114, {Costs!B:B,Costs!C:C}, 2, 0)</f>
        <v>5 Hinox Toenail
1 Naydra's Scale</v>
      </c>
      <c r="M114" s="30">
        <f t="array" ref="M114">vlookup(D114, {Armor!C:C,Armor!E:E}, 2, 0)</f>
        <v>5</v>
      </c>
      <c r="N114" s="27" t="str">
        <f t="array" ref="N114">vlookup(D114, {Costs!B:B,Costs!D:D}, 2, 0)</f>
        <v>5 Hinox Tooth
1 Naydra's Claw</v>
      </c>
      <c r="O114" s="30">
        <f t="array" ref="O114">vlookup(D114, {Armor!C:C,Armor!F:F}, 2, 0)</f>
        <v>8</v>
      </c>
      <c r="P114" s="27" t="str">
        <f t="array" ref="P114">vlookup(D114, {Costs!B:B,Costs!E:E}, 2, 0)</f>
        <v>2 Hinox Guts
1 Shard of Naydra's Fang</v>
      </c>
      <c r="Q114" s="30">
        <f t="array" ref="Q114">vlookup(D114, {Armor!C:C,Armor!G:G}, 2, 0)</f>
        <v>12</v>
      </c>
      <c r="R114" s="27" t="str">
        <f t="array" ref="R114">vlookup(D114, {Costs!B:B,Costs!F:F}, 2, 0)</f>
        <v>2 Lynel Guts
1 Naydra's Horn</v>
      </c>
      <c r="S114" s="26">
        <f t="array" ref="S114">vlookup(D114, {Armor!C:C,Armor!H:H}, 2, 0)</f>
        <v>20</v>
      </c>
    </row>
    <row r="115" ht="60.0" customHeight="1">
      <c r="A115" s="31">
        <v>114.0</v>
      </c>
      <c r="B115" s="31" t="s">
        <v>193</v>
      </c>
      <c r="C115" s="31" t="s">
        <v>56</v>
      </c>
      <c r="D115" s="32" t="s">
        <v>196</v>
      </c>
      <c r="E115" s="33" t="str">
        <f t="array" ref="E115">vlookup(D115, {Armor!C:C,Armor!A:A}, 2, 0)</f>
        <v/>
      </c>
      <c r="F115" s="33"/>
      <c r="G115" s="33"/>
      <c r="H115" s="33"/>
      <c r="I115" s="33"/>
      <c r="J115" s="33"/>
      <c r="K115" s="35">
        <f t="array" ref="K115">vlookup(D115, {Armor!C:C,Armor!D:D}, 2, 0)</f>
        <v>3</v>
      </c>
      <c r="L115" s="33" t="str">
        <f t="array" ref="L115">vlookup(D115, {Costs!B:B,Costs!C:C}, 2, 0)</f>
        <v>5 Hinox Toenail
1 Farosh's Scale</v>
      </c>
      <c r="M115" s="36">
        <f t="array" ref="M115">vlookup(D115, {Armor!C:C,Armor!E:E}, 2, 0)</f>
        <v>5</v>
      </c>
      <c r="N115" s="33" t="str">
        <f t="array" ref="N115">vlookup(D115, {Costs!B:B,Costs!D:D}, 2, 0)</f>
        <v>5 Hinox Tooth
1 Farosh's Claw</v>
      </c>
      <c r="O115" s="36">
        <f t="array" ref="O115">vlookup(D115, {Armor!C:C,Armor!F:F}, 2, 0)</f>
        <v>8</v>
      </c>
      <c r="P115" s="33" t="str">
        <f t="array" ref="P115">vlookup(D115, {Costs!B:B,Costs!E:E}, 2, 0)</f>
        <v>2 Hinox Guts
1 Shard of Farosh's Fang</v>
      </c>
      <c r="Q115" s="36">
        <f t="array" ref="Q115">vlookup(D115, {Armor!C:C,Armor!G:G}, 2, 0)</f>
        <v>12</v>
      </c>
      <c r="R115" s="33" t="str">
        <f t="array" ref="R115">vlookup(D115, {Costs!B:B,Costs!F:F}, 2, 0)</f>
        <v>2 Lynel Guts
1 Farosh's Horn</v>
      </c>
      <c r="S115" s="32">
        <f t="array" ref="S115">vlookup(D115, {Armor!C:C,Armor!H:H}, 2, 0)</f>
        <v>20</v>
      </c>
    </row>
    <row r="116" ht="60.0" customHeight="1">
      <c r="A116" s="25">
        <v>115.0</v>
      </c>
      <c r="B116" s="25" t="s">
        <v>197</v>
      </c>
      <c r="C116" s="25" t="s">
        <v>60</v>
      </c>
      <c r="D116" s="26" t="s">
        <v>198</v>
      </c>
      <c r="E116" s="27" t="str">
        <f t="array" ref="E116">vlookup(D116, {Armor!C:C,Armor!A:A}, 2, 0)</f>
        <v/>
      </c>
      <c r="F116" s="27"/>
      <c r="G116" s="27"/>
      <c r="H116" s="27"/>
      <c r="I116" s="27"/>
      <c r="J116" s="27"/>
      <c r="K116" s="29">
        <f t="array" ref="K116">vlookup(D116, {Armor!C:C,Armor!D:D}, 2, 0)</f>
        <v>3</v>
      </c>
      <c r="L116" s="27" t="str">
        <f t="array" ref="L116">vlookup(D116, {Costs!B:B,Costs!C:C}, 2, 0)</f>
        <v>10 Luminous Stone
1 Star Fragment</v>
      </c>
      <c r="M116" s="30">
        <f t="array" ref="M116">vlookup(D116, {Armor!C:C,Armor!E:E}, 2, 0)</f>
        <v>5</v>
      </c>
      <c r="N116" s="27" t="str">
        <f t="array" ref="N116">vlookup(D116, {Costs!B:B,Costs!D:D}, 2, 0)</f>
        <v>15 Luminous Stone
1 Star Fragment</v>
      </c>
      <c r="O116" s="30">
        <f t="array" ref="O116">vlookup(D116, {Armor!C:C,Armor!F:F}, 2, 0)</f>
        <v>8</v>
      </c>
      <c r="P116" s="27" t="str">
        <f t="array" ref="P116">vlookup(D116, {Costs!B:B,Costs!E:E}, 2, 0)</f>
        <v>20 Luminous Stone
1 Star Fragment</v>
      </c>
      <c r="Q116" s="30">
        <f t="array" ref="Q116">vlookup(D116, {Armor!C:C,Armor!G:G}, 2, 0)</f>
        <v>12</v>
      </c>
      <c r="R116" s="27" t="str">
        <f t="array" ref="R116">vlookup(D116, {Costs!B:B,Costs!F:F}, 2, 0)</f>
        <v>30 Luminous Stone
1 Star Fragment</v>
      </c>
      <c r="S116" s="26">
        <f t="array" ref="S116">vlookup(D116, {Armor!C:C,Armor!H:H}, 2, 0)</f>
        <v>20</v>
      </c>
    </row>
    <row r="117" ht="60.0" customHeight="1">
      <c r="A117" s="31">
        <v>116.0</v>
      </c>
      <c r="B117" s="31" t="s">
        <v>197</v>
      </c>
      <c r="C117" s="31" t="s">
        <v>53</v>
      </c>
      <c r="D117" s="32" t="s">
        <v>199</v>
      </c>
      <c r="E117" s="33" t="str">
        <f t="array" ref="E117">vlookup(D117, {Armor!C:C,Armor!A:A}, 2, 0)</f>
        <v/>
      </c>
      <c r="F117" s="33"/>
      <c r="G117" s="33"/>
      <c r="H117" s="33"/>
      <c r="I117" s="33"/>
      <c r="J117" s="33"/>
      <c r="K117" s="35">
        <f t="array" ref="K117">vlookup(D117, {Armor!C:C,Armor!D:D}, 2, 0)</f>
        <v>3</v>
      </c>
      <c r="L117" s="33" t="str">
        <f t="array" ref="L117">vlookup(D117, {Costs!B:B,Costs!C:C}, 2, 0)</f>
        <v>10 Luminous Stone
1 Star Fragment</v>
      </c>
      <c r="M117" s="36">
        <f t="array" ref="M117">vlookup(D117, {Armor!C:C,Armor!E:E}, 2, 0)</f>
        <v>5</v>
      </c>
      <c r="N117" s="33" t="str">
        <f t="array" ref="N117">vlookup(D117, {Costs!B:B,Costs!D:D}, 2, 0)</f>
        <v>15 Luminous Stone
1 Star Fragment</v>
      </c>
      <c r="O117" s="36">
        <f t="array" ref="O117">vlookup(D117, {Armor!C:C,Armor!F:F}, 2, 0)</f>
        <v>8</v>
      </c>
      <c r="P117" s="33" t="str">
        <f t="array" ref="P117">vlookup(D117, {Costs!B:B,Costs!E:E}, 2, 0)</f>
        <v>20 Luminous Stone
1 Star Fragment</v>
      </c>
      <c r="Q117" s="36">
        <f t="array" ref="Q117">vlookup(D117, {Armor!C:C,Armor!G:G}, 2, 0)</f>
        <v>12</v>
      </c>
      <c r="R117" s="33" t="str">
        <f t="array" ref="R117">vlookup(D117, {Costs!B:B,Costs!F:F}, 2, 0)</f>
        <v>30 Luminous Stone
1 Star Fragment</v>
      </c>
      <c r="S117" s="32">
        <f t="array" ref="S117">vlookup(D117, {Armor!C:C,Armor!H:H}, 2, 0)</f>
        <v>20</v>
      </c>
    </row>
    <row r="118" ht="60.0" customHeight="1">
      <c r="A118" s="25">
        <v>117.0</v>
      </c>
      <c r="B118" s="25" t="s">
        <v>197</v>
      </c>
      <c r="C118" s="25" t="s">
        <v>56</v>
      </c>
      <c r="D118" s="26" t="s">
        <v>200</v>
      </c>
      <c r="E118" s="27" t="str">
        <f t="array" ref="E118">vlookup(D118, {Armor!C:C,Armor!A:A}, 2, 0)</f>
        <v/>
      </c>
      <c r="F118" s="27"/>
      <c r="G118" s="27"/>
      <c r="H118" s="27"/>
      <c r="I118" s="27"/>
      <c r="J118" s="27"/>
      <c r="K118" s="29">
        <f t="array" ref="K118">vlookup(D118, {Armor!C:C,Armor!D:D}, 2, 0)</f>
        <v>3</v>
      </c>
      <c r="L118" s="27" t="str">
        <f t="array" ref="L118">vlookup(D118, {Costs!B:B,Costs!C:C}, 2, 0)</f>
        <v>10 Luminous Stone
1 Star Fragment</v>
      </c>
      <c r="M118" s="30">
        <f t="array" ref="M118">vlookup(D118, {Armor!C:C,Armor!E:E}, 2, 0)</f>
        <v>5</v>
      </c>
      <c r="N118" s="27" t="str">
        <f t="array" ref="N118">vlookup(D118, {Costs!B:B,Costs!D:D}, 2, 0)</f>
        <v>15 Luminous Stone
1 Star Fragment</v>
      </c>
      <c r="O118" s="30">
        <f t="array" ref="O118">vlookup(D118, {Armor!C:C,Armor!F:F}, 2, 0)</f>
        <v>8</v>
      </c>
      <c r="P118" s="27" t="str">
        <f t="array" ref="P118">vlookup(D118, {Costs!B:B,Costs!E:E}, 2, 0)</f>
        <v>20 Luminous Stone
1 Star Fragment</v>
      </c>
      <c r="Q118" s="30">
        <f t="array" ref="Q118">vlookup(D118, {Armor!C:C,Armor!G:G}, 2, 0)</f>
        <v>12</v>
      </c>
      <c r="R118" s="27" t="str">
        <f t="array" ref="R118">vlookup(D118, {Costs!B:B,Costs!F:F}, 2, 0)</f>
        <v>30 Luminous Stone
1 Star Fragment</v>
      </c>
      <c r="S118" s="26">
        <f t="array" ref="S118">vlookup(D118, {Armor!C:C,Armor!H:H}, 2, 0)</f>
        <v>20</v>
      </c>
    </row>
    <row r="119" ht="60.0" customHeight="1">
      <c r="A119" s="31">
        <v>118.0</v>
      </c>
      <c r="B119" s="31" t="s">
        <v>201</v>
      </c>
      <c r="C119" s="31" t="s">
        <v>60</v>
      </c>
      <c r="D119" s="32" t="s">
        <v>202</v>
      </c>
      <c r="E119" s="33" t="str">
        <f t="array" ref="E119">vlookup(D119, {Armor!C:C,Armor!A:A}, 2, 0)</f>
        <v/>
      </c>
      <c r="F119" s="33"/>
      <c r="G119" s="33"/>
      <c r="H119" s="33"/>
      <c r="I119" s="33"/>
      <c r="J119" s="33"/>
      <c r="K119" s="35">
        <f t="array" ref="K119">vlookup(D119, {Armor!C:C,Armor!D:D}, 2, 0)</f>
        <v>4</v>
      </c>
      <c r="L119" s="33" t="str">
        <f t="array" ref="L119">vlookup(D119, {Costs!B:B,Costs!C:C}, 2, 0)</f>
        <v>10 Acorn
2 Farosh's Scale</v>
      </c>
      <c r="M119" s="36">
        <f t="array" ref="M119">vlookup(D119, {Armor!C:C,Armor!E:E}, 2, 0)</f>
        <v>7</v>
      </c>
      <c r="N119" s="33" t="str">
        <f t="array" ref="N119">vlookup(D119, {Costs!B:B,Costs!D:D}, 2, 0)</f>
        <v>5 Courser Bee Honey
2 Farosh's Claw</v>
      </c>
      <c r="O119" s="36">
        <f t="array" ref="O119">vlookup(D119, {Armor!C:C,Armor!F:F}, 2, 0)</f>
        <v>12</v>
      </c>
      <c r="P119" s="33" t="str">
        <f t="array" ref="P119">vlookup(D119, {Costs!B:B,Costs!E:E}, 2, 0)</f>
        <v>3 Energetic Rhino Beetle
2 Shard of Farosh's Fang
5 Shard of Farosh's Spike</v>
      </c>
      <c r="Q119" s="36">
        <f t="array" ref="Q119">vlookup(D119, {Armor!C:C,Armor!G:G}, 2, 0)</f>
        <v>18</v>
      </c>
      <c r="R119" s="33" t="str">
        <f t="array" ref="R119">vlookup(D119, {Costs!B:B,Costs!F:F}, 2, 0)</f>
        <v>3 Star Fragment
2 Farosh's Horn
10 Shard of Farosh's Spike</v>
      </c>
      <c r="S119" s="32">
        <f t="array" ref="S119">vlookup(D119, {Armor!C:C,Armor!H:H}, 2, 0)</f>
        <v>28</v>
      </c>
    </row>
    <row r="120" ht="60.0" customHeight="1">
      <c r="A120" s="25">
        <v>119.0</v>
      </c>
      <c r="B120" s="25" t="s">
        <v>201</v>
      </c>
      <c r="C120" s="25" t="s">
        <v>53</v>
      </c>
      <c r="D120" s="26" t="s">
        <v>203</v>
      </c>
      <c r="E120" s="27" t="str">
        <f t="array" ref="E120">vlookup(D120, {Armor!C:C,Armor!A:A}, 2, 0)</f>
        <v/>
      </c>
      <c r="F120" s="27"/>
      <c r="G120" s="27"/>
      <c r="H120" s="27"/>
      <c r="I120" s="27"/>
      <c r="J120" s="27"/>
      <c r="K120" s="29">
        <f t="array" ref="K120">vlookup(D120, {Armor!C:C,Armor!D:D}, 2, 0)</f>
        <v>4</v>
      </c>
      <c r="L120" s="27" t="str">
        <f t="array" ref="L120">vlookup(D120, {Costs!B:B,Costs!C:C}, 2, 0)</f>
        <v>10 Acorn
2 Naydra's Scale</v>
      </c>
      <c r="M120" s="30">
        <f t="array" ref="M120">vlookup(D120, {Armor!C:C,Armor!E:E}, 2, 0)</f>
        <v>7</v>
      </c>
      <c r="N120" s="27" t="str">
        <f t="array" ref="N120">vlookup(D120, {Costs!B:B,Costs!D:D}, 2, 0)</f>
        <v>5 Courser Bee Honey
2 Naydra's Claw</v>
      </c>
      <c r="O120" s="30">
        <f t="array" ref="O120">vlookup(D120, {Armor!C:C,Armor!F:F}, 2, 0)</f>
        <v>12</v>
      </c>
      <c r="P120" s="27" t="str">
        <f t="array" ref="P120">vlookup(D120, {Costs!B:B,Costs!E:E}, 2, 0)</f>
        <v>3 Energetic Rhino Beetle
2 Shard of Naydra's Fang
5 Shard of Naydra's Spike</v>
      </c>
      <c r="Q120" s="30">
        <f t="array" ref="Q120">vlookup(D120, {Armor!C:C,Armor!G:G}, 2, 0)</f>
        <v>18</v>
      </c>
      <c r="R120" s="27" t="str">
        <f t="array" ref="R120">vlookup(D120, {Costs!B:B,Costs!F:F}, 2, 0)</f>
        <v>3 Star Fragment
2 Naydra's Horn
10 Shard of Naydra's Spike</v>
      </c>
      <c r="S120" s="26">
        <f t="array" ref="S120">vlookup(D120, {Armor!C:C,Armor!H:H}, 2, 0)</f>
        <v>28</v>
      </c>
    </row>
    <row r="121" ht="60.0" customHeight="1">
      <c r="A121" s="31">
        <v>120.0</v>
      </c>
      <c r="B121" s="31" t="s">
        <v>201</v>
      </c>
      <c r="C121" s="31" t="s">
        <v>56</v>
      </c>
      <c r="D121" s="32" t="s">
        <v>204</v>
      </c>
      <c r="E121" s="33" t="str">
        <f t="array" ref="E121">vlookup(D121, {Armor!C:C,Armor!A:A}, 2, 0)</f>
        <v/>
      </c>
      <c r="F121" s="33"/>
      <c r="G121" s="33"/>
      <c r="H121" s="33"/>
      <c r="I121" s="33"/>
      <c r="J121" s="33"/>
      <c r="K121" s="35">
        <f t="array" ref="K121">vlookup(D121, {Armor!C:C,Armor!D:D}, 2, 0)</f>
        <v>4</v>
      </c>
      <c r="L121" s="33" t="str">
        <f t="array" ref="L121">vlookup(D121, {Costs!B:B,Costs!C:C}, 2, 0)</f>
        <v>10 Acorn
2 Dinraal's Scale</v>
      </c>
      <c r="M121" s="36">
        <f t="array" ref="M121">vlookup(D121, {Armor!C:C,Armor!E:E}, 2, 0)</f>
        <v>7</v>
      </c>
      <c r="N121" s="33" t="str">
        <f t="array" ref="N121">vlookup(D121, {Costs!B:B,Costs!D:D}, 2, 0)</f>
        <v>5 Courser Bee Honey
2 Dinraal's Claw</v>
      </c>
      <c r="O121" s="36">
        <f t="array" ref="O121">vlookup(D121, {Armor!C:C,Armor!F:F}, 2, 0)</f>
        <v>12</v>
      </c>
      <c r="P121" s="33" t="str">
        <f t="array" ref="P121">vlookup(D121, {Costs!B:B,Costs!E:E}, 2, 0)</f>
        <v>3 Energetic Rhino Beetle
2 Shard of Dinraal's Fang
5 Shard of Dinraal's Spike</v>
      </c>
      <c r="Q121" s="36">
        <f t="array" ref="Q121">vlookup(D121, {Armor!C:C,Armor!G:G}, 2, 0)</f>
        <v>18</v>
      </c>
      <c r="R121" s="33" t="str">
        <f t="array" ref="R121">vlookup(D121, {Costs!B:B,Costs!F:F}, 2, 0)</f>
        <v>3 Star Fragment
2 Dinraal's Horn
10 Shard of Dinraal's Spike</v>
      </c>
      <c r="S121" s="32">
        <f t="array" ref="S121">vlookup(D121, {Armor!C:C,Armor!H:H}, 2, 0)</f>
        <v>28</v>
      </c>
    </row>
    <row r="122" ht="60.0" customHeight="1">
      <c r="A122" s="25">
        <v>121.0</v>
      </c>
      <c r="B122" s="25" t="s">
        <v>205</v>
      </c>
      <c r="C122" s="25" t="s">
        <v>60</v>
      </c>
      <c r="D122" s="26" t="s">
        <v>206</v>
      </c>
      <c r="E122" s="27" t="str">
        <f t="array" ref="E122">vlookup(D122, {Armor!C:C,Armor!A:A}, 2, 0)</f>
        <v/>
      </c>
      <c r="F122" s="27"/>
      <c r="G122" s="27"/>
      <c r="H122" s="27"/>
      <c r="I122" s="27"/>
      <c r="J122" s="27"/>
      <c r="K122" s="29">
        <f t="array" ref="K122">vlookup(D122, {Armor!C:C,Armor!D:D}, 2, 0)</f>
        <v>3</v>
      </c>
      <c r="L122" s="27" t="str">
        <f t="array" ref="L122">vlookup(D122, {Costs!B:B,Costs!C:C}, 2, 0)</f>
        <v>1 Ruby
1 Star Fragment</v>
      </c>
      <c r="M122" s="30">
        <f t="array" ref="M122">vlookup(D122, {Armor!C:C,Armor!E:E}, 2, 0)</f>
        <v>5</v>
      </c>
      <c r="N122" s="27" t="str">
        <f t="array" ref="N122">vlookup(D122, {Costs!B:B,Costs!D:D}, 2, 0)</f>
        <v>4 Ruby
1 Star Fragment</v>
      </c>
      <c r="O122" s="30">
        <f t="array" ref="O122">vlookup(D122, {Armor!C:C,Armor!F:F}, 2, 0)</f>
        <v>8</v>
      </c>
      <c r="P122" s="27" t="str">
        <f t="array" ref="P122">vlookup(D122, {Costs!B:B,Costs!E:E}, 2, 0)</f>
        <v>6 Ruby
1 Star Fragment</v>
      </c>
      <c r="Q122" s="30">
        <f t="array" ref="Q122">vlookup(D122, {Armor!C:C,Armor!G:G}, 2, 0)</f>
        <v>12</v>
      </c>
      <c r="R122" s="27" t="str">
        <f t="array" ref="R122">vlookup(D122, {Costs!B:B,Costs!F:F}, 2, 0)</f>
        <v>10 Ruby
1 Star Fragment</v>
      </c>
      <c r="S122" s="26">
        <f t="array" ref="S122">vlookup(D122, {Armor!C:C,Armor!H:H}, 2, 0)</f>
        <v>20</v>
      </c>
    </row>
    <row r="123" ht="60.0" customHeight="1">
      <c r="A123" s="31">
        <v>122.0</v>
      </c>
      <c r="B123" s="31" t="s">
        <v>205</v>
      </c>
      <c r="C123" s="31" t="s">
        <v>53</v>
      </c>
      <c r="D123" s="32" t="s">
        <v>207</v>
      </c>
      <c r="E123" s="33" t="str">
        <f t="array" ref="E123">vlookup(D123, {Armor!C:C,Armor!A:A}, 2, 0)</f>
        <v/>
      </c>
      <c r="F123" s="33"/>
      <c r="G123" s="33"/>
      <c r="H123" s="33"/>
      <c r="I123" s="33"/>
      <c r="J123" s="33"/>
      <c r="K123" s="35">
        <f t="array" ref="K123">vlookup(D123, {Armor!C:C,Armor!D:D}, 2, 0)</f>
        <v>3</v>
      </c>
      <c r="L123" s="33" t="str">
        <f t="array" ref="L123">vlookup(D123, {Costs!B:B,Costs!C:C}, 2, 0)</f>
        <v>1 Ruby
1 Star Fragment</v>
      </c>
      <c r="M123" s="36">
        <f t="array" ref="M123">vlookup(D123, {Armor!C:C,Armor!E:E}, 2, 0)</f>
        <v>5</v>
      </c>
      <c r="N123" s="33" t="str">
        <f t="array" ref="N123">vlookup(D123, {Costs!B:B,Costs!D:D}, 2, 0)</f>
        <v>4 Ruby
1 Star Fragment</v>
      </c>
      <c r="O123" s="36">
        <f t="array" ref="O123">vlookup(D123, {Armor!C:C,Armor!F:F}, 2, 0)</f>
        <v>8</v>
      </c>
      <c r="P123" s="33" t="str">
        <f t="array" ref="P123">vlookup(D123, {Costs!B:B,Costs!E:E}, 2, 0)</f>
        <v>6 Ruby
1 Star Fragment</v>
      </c>
      <c r="Q123" s="36">
        <f t="array" ref="Q123">vlookup(D123, {Armor!C:C,Armor!G:G}, 2, 0)</f>
        <v>12</v>
      </c>
      <c r="R123" s="33" t="str">
        <f t="array" ref="R123">vlookup(D123, {Costs!B:B,Costs!F:F}, 2, 0)</f>
        <v>10 Ruby
1 Star Fragment</v>
      </c>
      <c r="S123" s="32">
        <f t="array" ref="S123">vlookup(D123, {Armor!C:C,Armor!H:H}, 2, 0)</f>
        <v>20</v>
      </c>
    </row>
    <row r="124" ht="60.0" customHeight="1">
      <c r="A124" s="25">
        <v>123.0</v>
      </c>
      <c r="B124" s="25" t="s">
        <v>205</v>
      </c>
      <c r="C124" s="25" t="s">
        <v>56</v>
      </c>
      <c r="D124" s="26" t="s">
        <v>208</v>
      </c>
      <c r="E124" s="27" t="str">
        <f t="array" ref="E124">vlookup(D124, {Armor!C:C,Armor!A:A}, 2, 0)</f>
        <v/>
      </c>
      <c r="F124" s="27"/>
      <c r="G124" s="27"/>
      <c r="H124" s="27"/>
      <c r="I124" s="27"/>
      <c r="J124" s="27"/>
      <c r="K124" s="29">
        <f t="array" ref="K124">vlookup(D124, {Armor!C:C,Armor!D:D}, 2, 0)</f>
        <v>3</v>
      </c>
      <c r="L124" s="27" t="str">
        <f t="array" ref="L124">vlookup(D124, {Costs!B:B,Costs!C:C}, 2, 0)</f>
        <v>1 Ruby
1 Star Fragment</v>
      </c>
      <c r="M124" s="30">
        <f t="array" ref="M124">vlookup(D124, {Armor!C:C,Armor!E:E}, 2, 0)</f>
        <v>5</v>
      </c>
      <c r="N124" s="27" t="str">
        <f t="array" ref="N124">vlookup(D124, {Costs!B:B,Costs!D:D}, 2, 0)</f>
        <v>4 Ruby
1 Star Fragment</v>
      </c>
      <c r="O124" s="30">
        <f t="array" ref="O124">vlookup(D124, {Armor!C:C,Armor!F:F}, 2, 0)</f>
        <v>8</v>
      </c>
      <c r="P124" s="27" t="str">
        <f t="array" ref="P124">vlookup(D124, {Costs!B:B,Costs!E:E}, 2, 0)</f>
        <v>6 Ruby
1 Star Fragment</v>
      </c>
      <c r="Q124" s="30">
        <f t="array" ref="Q124">vlookup(D124, {Armor!C:C,Armor!G:G}, 2, 0)</f>
        <v>12</v>
      </c>
      <c r="R124" s="27" t="str">
        <f t="array" ref="R124">vlookup(D124, {Costs!B:B,Costs!F:F}, 2, 0)</f>
        <v>10 Ruby
1 Star Fragment</v>
      </c>
      <c r="S124" s="26">
        <f t="array" ref="S124">vlookup(D124, {Armor!C:C,Armor!H:H}, 2, 0)</f>
        <v>20</v>
      </c>
    </row>
    <row r="125" ht="60.0" customHeight="1">
      <c r="A125" s="31">
        <v>124.0</v>
      </c>
      <c r="B125" s="31" t="s">
        <v>209</v>
      </c>
      <c r="C125" s="31" t="s">
        <v>60</v>
      </c>
      <c r="D125" s="32" t="s">
        <v>210</v>
      </c>
      <c r="E125" s="33" t="str">
        <f t="array" ref="E125">vlookup(D125, {Armor!C:C,Armor!A:A}, 2, 0)</f>
        <v/>
      </c>
      <c r="F125" s="33"/>
      <c r="G125" s="33"/>
      <c r="H125" s="33"/>
      <c r="I125" s="33"/>
      <c r="J125" s="33"/>
      <c r="K125" s="35">
        <f t="array" ref="K125">vlookup(D125, {Armor!C:C,Armor!D:D}, 2, 0)</f>
        <v>3</v>
      </c>
      <c r="L125" s="33" t="str">
        <f t="array" ref="L125">vlookup(D125, {Costs!B:B,Costs!C:C}, 2, 0)</f>
        <v>10 Amber
1 Star Fragment</v>
      </c>
      <c r="M125" s="36">
        <f t="array" ref="M125">vlookup(D125, {Armor!C:C,Armor!E:E}, 2, 0)</f>
        <v>5</v>
      </c>
      <c r="N125" s="33" t="str">
        <f t="array" ref="N125">vlookup(D125, {Costs!B:B,Costs!D:D}, 2, 0)</f>
        <v>20 Amber
1 Star Fragment</v>
      </c>
      <c r="O125" s="36">
        <f t="array" ref="O125">vlookup(D125, {Armor!C:C,Armor!F:F}, 2, 0)</f>
        <v>8</v>
      </c>
      <c r="P125" s="33" t="str">
        <f t="array" ref="P125">vlookup(D125, {Costs!B:B,Costs!E:E}, 2, 0)</f>
        <v>30 Amber
1 Star Fragment</v>
      </c>
      <c r="Q125" s="36">
        <f t="array" ref="Q125">vlookup(D125, {Armor!C:C,Armor!G:G}, 2, 0)</f>
        <v>12</v>
      </c>
      <c r="R125" s="33" t="str">
        <f t="array" ref="R125">vlookup(D125, {Costs!B:B,Costs!F:F}, 2, 0)</f>
        <v>40 Amber
1 Star Fragment</v>
      </c>
      <c r="S125" s="32">
        <f t="array" ref="S125">vlookup(D125, {Armor!C:C,Armor!H:H}, 2, 0)</f>
        <v>20</v>
      </c>
    </row>
    <row r="126" ht="60.0" customHeight="1">
      <c r="A126" s="25">
        <v>125.0</v>
      </c>
      <c r="B126" s="25" t="s">
        <v>209</v>
      </c>
      <c r="C126" s="25" t="s">
        <v>53</v>
      </c>
      <c r="D126" s="26" t="s">
        <v>211</v>
      </c>
      <c r="E126" s="27" t="str">
        <f t="array" ref="E126">vlookup(D126, {Armor!C:C,Armor!A:A}, 2, 0)</f>
        <v/>
      </c>
      <c r="F126" s="27"/>
      <c r="G126" s="27"/>
      <c r="H126" s="27"/>
      <c r="I126" s="27"/>
      <c r="J126" s="27"/>
      <c r="K126" s="29">
        <f t="array" ref="K126">vlookup(D126, {Armor!C:C,Armor!D:D}, 2, 0)</f>
        <v>3</v>
      </c>
      <c r="L126" s="27" t="str">
        <f t="array" ref="L126">vlookup(D126, {Costs!B:B,Costs!C:C}, 2, 0)</f>
        <v>10 Amber
1 Star Fragment</v>
      </c>
      <c r="M126" s="30">
        <f t="array" ref="M126">vlookup(D126, {Armor!C:C,Armor!E:E}, 2, 0)</f>
        <v>5</v>
      </c>
      <c r="N126" s="27" t="str">
        <f t="array" ref="N126">vlookup(D126, {Costs!B:B,Costs!D:D}, 2, 0)</f>
        <v>20 Amber
1 Star Fragment</v>
      </c>
      <c r="O126" s="30">
        <f t="array" ref="O126">vlookup(D126, {Armor!C:C,Armor!F:F}, 2, 0)</f>
        <v>8</v>
      </c>
      <c r="P126" s="27" t="str">
        <f t="array" ref="P126">vlookup(D126, {Costs!B:B,Costs!E:E}, 2, 0)</f>
        <v>30 Amber
1 Star Fragment</v>
      </c>
      <c r="Q126" s="30">
        <f t="array" ref="Q126">vlookup(D126, {Armor!C:C,Armor!G:G}, 2, 0)</f>
        <v>12</v>
      </c>
      <c r="R126" s="27" t="str">
        <f t="array" ref="R126">vlookup(D126, {Costs!B:B,Costs!F:F}, 2, 0)</f>
        <v>40 Amber
1 Star Fragment</v>
      </c>
      <c r="S126" s="26">
        <f t="array" ref="S126">vlookup(D126, {Armor!C:C,Armor!H:H}, 2, 0)</f>
        <v>20</v>
      </c>
    </row>
    <row r="127" ht="60.0" customHeight="1">
      <c r="A127" s="31">
        <v>126.0</v>
      </c>
      <c r="B127" s="31" t="s">
        <v>209</v>
      </c>
      <c r="C127" s="31" t="s">
        <v>56</v>
      </c>
      <c r="D127" s="32" t="s">
        <v>212</v>
      </c>
      <c r="E127" s="33" t="str">
        <f t="array" ref="E127">vlookup(D127, {Armor!C:C,Armor!A:A}, 2, 0)</f>
        <v/>
      </c>
      <c r="F127" s="33"/>
      <c r="G127" s="33"/>
      <c r="H127" s="33"/>
      <c r="I127" s="33"/>
      <c r="J127" s="33"/>
      <c r="K127" s="35">
        <f t="array" ref="K127">vlookup(D127, {Armor!C:C,Armor!D:D}, 2, 0)</f>
        <v>3</v>
      </c>
      <c r="L127" s="33" t="str">
        <f t="array" ref="L127">vlookup(D127, {Costs!B:B,Costs!C:C}, 2, 0)</f>
        <v>10 Amber
1 Star Fragment</v>
      </c>
      <c r="M127" s="36">
        <f t="array" ref="M127">vlookup(D127, {Armor!C:C,Armor!E:E}, 2, 0)</f>
        <v>5</v>
      </c>
      <c r="N127" s="33" t="str">
        <f t="array" ref="N127">vlookup(D127, {Costs!B:B,Costs!D:D}, 2, 0)</f>
        <v>20 Amber
1 Star Fragment</v>
      </c>
      <c r="O127" s="36">
        <f t="array" ref="O127">vlookup(D127, {Armor!C:C,Armor!F:F}, 2, 0)</f>
        <v>8</v>
      </c>
      <c r="P127" s="33" t="str">
        <f t="array" ref="P127">vlookup(D127, {Costs!B:B,Costs!E:E}, 2, 0)</f>
        <v>30 Amber
1 Star Fragment</v>
      </c>
      <c r="Q127" s="36">
        <f t="array" ref="Q127">vlookup(D127, {Armor!C:C,Armor!G:G}, 2, 0)</f>
        <v>12</v>
      </c>
      <c r="R127" s="33" t="str">
        <f t="array" ref="R127">vlookup(D127, {Costs!B:B,Costs!F:F}, 2, 0)</f>
        <v>40 Amber
1 Star Fragment</v>
      </c>
      <c r="S127" s="32">
        <f t="array" ref="S127">vlookup(D127, {Armor!C:C,Armor!H:H}, 2, 0)</f>
        <v>20</v>
      </c>
    </row>
    <row r="128" ht="60.0" customHeight="1">
      <c r="A128" s="25">
        <v>127.0</v>
      </c>
      <c r="B128" s="25" t="s">
        <v>213</v>
      </c>
      <c r="C128" s="25" t="s">
        <v>60</v>
      </c>
      <c r="D128" s="26" t="s">
        <v>214</v>
      </c>
      <c r="E128" s="27" t="str">
        <f t="array" ref="E128">vlookup(D128, {Armor!C:C,Armor!A:A}, 2, 0)</f>
        <v/>
      </c>
      <c r="F128" s="27"/>
      <c r="G128" s="27"/>
      <c r="H128" s="27"/>
      <c r="I128" s="27"/>
      <c r="J128" s="27"/>
      <c r="K128" s="29">
        <f t="array" ref="K128">vlookup(D128, {Armor!C:C,Armor!D:D}, 2, 0)</f>
        <v>3</v>
      </c>
      <c r="L128" s="27" t="str">
        <f t="array" ref="L128">vlookup(D128, {Costs!B:B,Costs!C:C}, 2, 0)</f>
        <v>5 Opal
1 Star Fragment</v>
      </c>
      <c r="M128" s="30">
        <f t="array" ref="M128">vlookup(D128, {Armor!C:C,Armor!E:E}, 2, 0)</f>
        <v>5</v>
      </c>
      <c r="N128" s="27" t="str">
        <f t="array" ref="N128">vlookup(D128, {Costs!B:B,Costs!D:D}, 2, 0)</f>
        <v>10 Opal
1 Star Fragment</v>
      </c>
      <c r="O128" s="30">
        <f t="array" ref="O128">vlookup(D128, {Armor!C:C,Armor!F:F}, 2, 0)</f>
        <v>8</v>
      </c>
      <c r="P128" s="27" t="str">
        <f t="array" ref="P128">vlookup(D128, {Costs!B:B,Costs!E:E}, 2, 0)</f>
        <v>15 Opal
1 Star Fragment</v>
      </c>
      <c r="Q128" s="30">
        <f t="array" ref="Q128">vlookup(D128, {Armor!C:C,Armor!G:G}, 2, 0)</f>
        <v>12</v>
      </c>
      <c r="R128" s="27" t="str">
        <f t="array" ref="R128">vlookup(D128, {Costs!B:B,Costs!F:F}, 2, 0)</f>
        <v>25 Opal
1 Star Fragment</v>
      </c>
      <c r="S128" s="26">
        <f t="array" ref="S128">vlookup(D128, {Armor!C:C,Armor!H:H}, 2, 0)</f>
        <v>20</v>
      </c>
    </row>
    <row r="129" ht="60.0" customHeight="1">
      <c r="A129" s="31">
        <v>128.0</v>
      </c>
      <c r="B129" s="31" t="s">
        <v>213</v>
      </c>
      <c r="C129" s="31" t="s">
        <v>53</v>
      </c>
      <c r="D129" s="32" t="s">
        <v>215</v>
      </c>
      <c r="E129" s="33" t="str">
        <f t="array" ref="E129">vlookup(D129, {Armor!C:C,Armor!A:A}, 2, 0)</f>
        <v/>
      </c>
      <c r="F129" s="33"/>
      <c r="G129" s="33"/>
      <c r="H129" s="33"/>
      <c r="I129" s="33"/>
      <c r="J129" s="33"/>
      <c r="K129" s="35">
        <f t="array" ref="K129">vlookup(D129, {Armor!C:C,Armor!D:D}, 2, 0)</f>
        <v>3</v>
      </c>
      <c r="L129" s="33" t="str">
        <f t="array" ref="L129">vlookup(D129, {Costs!B:B,Costs!C:C}, 2, 0)</f>
        <v>5 Opal
1 Star Fragment</v>
      </c>
      <c r="M129" s="36">
        <f t="array" ref="M129">vlookup(D129, {Armor!C:C,Armor!E:E}, 2, 0)</f>
        <v>5</v>
      </c>
      <c r="N129" s="33" t="str">
        <f t="array" ref="N129">vlookup(D129, {Costs!B:B,Costs!D:D}, 2, 0)</f>
        <v>10 Opal
1 Star Fragment</v>
      </c>
      <c r="O129" s="36">
        <f t="array" ref="O129">vlookup(D129, {Armor!C:C,Armor!F:F}, 2, 0)</f>
        <v>8</v>
      </c>
      <c r="P129" s="33" t="str">
        <f t="array" ref="P129">vlookup(D129, {Costs!B:B,Costs!E:E}, 2, 0)</f>
        <v>15 Opal
1 Star Fragment</v>
      </c>
      <c r="Q129" s="36">
        <f t="array" ref="Q129">vlookup(D129, {Armor!C:C,Armor!G:G}, 2, 0)</f>
        <v>12</v>
      </c>
      <c r="R129" s="33" t="str">
        <f t="array" ref="R129">vlookup(D129, {Costs!B:B,Costs!F:F}, 2, 0)</f>
        <v>25 Opal
1 Star Fragment</v>
      </c>
      <c r="S129" s="32">
        <f t="array" ref="S129">vlookup(D129, {Armor!C:C,Armor!H:H}, 2, 0)</f>
        <v>20</v>
      </c>
    </row>
    <row r="130" ht="60.0" customHeight="1">
      <c r="A130" s="25">
        <v>129.0</v>
      </c>
      <c r="B130" s="25" t="s">
        <v>213</v>
      </c>
      <c r="C130" s="25" t="s">
        <v>56</v>
      </c>
      <c r="D130" s="26" t="s">
        <v>216</v>
      </c>
      <c r="E130" s="27" t="str">
        <f t="array" ref="E130">vlookup(D130, {Armor!C:C,Armor!A:A}, 2, 0)</f>
        <v/>
      </c>
      <c r="F130" s="27"/>
      <c r="G130" s="27"/>
      <c r="H130" s="27"/>
      <c r="I130" s="27"/>
      <c r="J130" s="27"/>
      <c r="K130" s="29">
        <f t="array" ref="K130">vlookup(D130, {Armor!C:C,Armor!D:D}, 2, 0)</f>
        <v>3</v>
      </c>
      <c r="L130" s="27" t="str">
        <f t="array" ref="L130">vlookup(D130, {Costs!B:B,Costs!C:C}, 2, 0)</f>
        <v>5 Opal
1 Star Fragment</v>
      </c>
      <c r="M130" s="30">
        <f t="array" ref="M130">vlookup(D130, {Armor!C:C,Armor!E:E}, 2, 0)</f>
        <v>5</v>
      </c>
      <c r="N130" s="27" t="str">
        <f t="array" ref="N130">vlookup(D130, {Costs!B:B,Costs!D:D}, 2, 0)</f>
        <v>10 Opal
1 Star Fragment</v>
      </c>
      <c r="O130" s="30">
        <f t="array" ref="O130">vlookup(D130, {Armor!C:C,Armor!F:F}, 2, 0)</f>
        <v>8</v>
      </c>
      <c r="P130" s="27" t="str">
        <f t="array" ref="P130">vlookup(D130, {Costs!B:B,Costs!E:E}, 2, 0)</f>
        <v>15 Opal
1 Star Fragment</v>
      </c>
      <c r="Q130" s="30">
        <f t="array" ref="Q130">vlookup(D130, {Armor!C:C,Armor!G:G}, 2, 0)</f>
        <v>12</v>
      </c>
      <c r="R130" s="27" t="str">
        <f t="array" ref="R130">vlookup(D130, {Costs!B:B,Costs!F:F}, 2, 0)</f>
        <v>25 Opal
1 Star Fragment</v>
      </c>
      <c r="S130" s="26">
        <f t="array" ref="S130">vlookup(D130, {Armor!C:C,Armor!H:H}, 2, 0)</f>
        <v>20</v>
      </c>
    </row>
    <row r="131" ht="60.0" customHeight="1">
      <c r="A131" s="31">
        <v>130.0</v>
      </c>
      <c r="B131" s="31" t="s">
        <v>217</v>
      </c>
      <c r="C131" s="31" t="s">
        <v>60</v>
      </c>
      <c r="D131" s="32" t="s">
        <v>218</v>
      </c>
      <c r="E131" s="33" t="str">
        <f t="array" ref="E131">vlookup(D131, {Armor!C:C,Armor!A:A}, 2, 0)</f>
        <v/>
      </c>
      <c r="F131" s="33"/>
      <c r="G131" s="33"/>
      <c r="H131" s="33"/>
      <c r="I131" s="33"/>
      <c r="J131" s="33"/>
      <c r="K131" s="35">
        <f t="array" ref="K131">vlookup(D131, {Armor!C:C,Armor!D:D}, 2, 0)</f>
        <v>3</v>
      </c>
      <c r="L131" s="33" t="str">
        <f t="array" ref="L131">vlookup(D131, {Costs!B:B,Costs!C:C}, 2, 0)</f>
        <v>1 Topaz
1 Star Fragment</v>
      </c>
      <c r="M131" s="36">
        <f t="array" ref="M131">vlookup(D131, {Armor!C:C,Armor!E:E}, 2, 0)</f>
        <v>5</v>
      </c>
      <c r="N131" s="33" t="str">
        <f t="array" ref="N131">vlookup(D131, {Costs!B:B,Costs!D:D}, 2, 0)</f>
        <v>4 Topaz
1 Star Fragment</v>
      </c>
      <c r="O131" s="36">
        <f t="array" ref="O131">vlookup(D131, {Armor!C:C,Armor!F:F}, 2, 0)</f>
        <v>8</v>
      </c>
      <c r="P131" s="33" t="str">
        <f t="array" ref="P131">vlookup(D131, {Costs!B:B,Costs!E:E}, 2, 0)</f>
        <v>6 Topaz
1 Star Fragment</v>
      </c>
      <c r="Q131" s="36">
        <f t="array" ref="Q131">vlookup(D131, {Armor!C:C,Armor!G:G}, 2, 0)</f>
        <v>12</v>
      </c>
      <c r="R131" s="33" t="str">
        <f t="array" ref="R131">vlookup(D131, {Costs!B:B,Costs!F:F}, 2, 0)</f>
        <v>10 Topaz
1 Star Fragment</v>
      </c>
      <c r="S131" s="32">
        <f t="array" ref="S131">vlookup(D131, {Armor!C:C,Armor!H:H}, 2, 0)</f>
        <v>20</v>
      </c>
    </row>
    <row r="132" ht="60.0" customHeight="1">
      <c r="A132" s="25">
        <v>131.0</v>
      </c>
      <c r="B132" s="25" t="s">
        <v>217</v>
      </c>
      <c r="C132" s="25" t="s">
        <v>53</v>
      </c>
      <c r="D132" s="26" t="s">
        <v>219</v>
      </c>
      <c r="E132" s="27" t="str">
        <f t="array" ref="E132">vlookup(D132, {Armor!C:C,Armor!A:A}, 2, 0)</f>
        <v/>
      </c>
      <c r="F132" s="27"/>
      <c r="G132" s="27"/>
      <c r="H132" s="27"/>
      <c r="I132" s="27"/>
      <c r="J132" s="27"/>
      <c r="K132" s="29">
        <f t="array" ref="K132">vlookup(D132, {Armor!C:C,Armor!D:D}, 2, 0)</f>
        <v>3</v>
      </c>
      <c r="L132" s="27" t="str">
        <f t="array" ref="L132">vlookup(D132, {Costs!B:B,Costs!C:C}, 2, 0)</f>
        <v>1 Topaz
1 Star Fragment</v>
      </c>
      <c r="M132" s="30">
        <f t="array" ref="M132">vlookup(D132, {Armor!C:C,Armor!E:E}, 2, 0)</f>
        <v>5</v>
      </c>
      <c r="N132" s="27" t="str">
        <f t="array" ref="N132">vlookup(D132, {Costs!B:B,Costs!D:D}, 2, 0)</f>
        <v>4 Topaz
1 Star Fragment</v>
      </c>
      <c r="O132" s="30">
        <f t="array" ref="O132">vlookup(D132, {Armor!C:C,Armor!F:F}, 2, 0)</f>
        <v>8</v>
      </c>
      <c r="P132" s="27" t="str">
        <f t="array" ref="P132">vlookup(D132, {Costs!B:B,Costs!E:E}, 2, 0)</f>
        <v>6 Topaz
1 Star Fragment</v>
      </c>
      <c r="Q132" s="30">
        <f t="array" ref="Q132">vlookup(D132, {Armor!C:C,Armor!G:G}, 2, 0)</f>
        <v>12</v>
      </c>
      <c r="R132" s="27" t="str">
        <f t="array" ref="R132">vlookup(D132, {Costs!B:B,Costs!F:F}, 2, 0)</f>
        <v>10 Topaz
1 Star Fragment</v>
      </c>
      <c r="S132" s="26">
        <f t="array" ref="S132">vlookup(D132, {Armor!C:C,Armor!H:H}, 2, 0)</f>
        <v>20</v>
      </c>
    </row>
    <row r="133" ht="60.0" customHeight="1">
      <c r="A133" s="31">
        <v>132.0</v>
      </c>
      <c r="B133" s="31" t="s">
        <v>217</v>
      </c>
      <c r="C133" s="31" t="s">
        <v>56</v>
      </c>
      <c r="D133" s="32" t="s">
        <v>220</v>
      </c>
      <c r="E133" s="33" t="str">
        <f t="array" ref="E133">vlookup(D133, {Armor!C:C,Armor!A:A}, 2, 0)</f>
        <v/>
      </c>
      <c r="F133" s="33"/>
      <c r="G133" s="33"/>
      <c r="H133" s="33"/>
      <c r="I133" s="33"/>
      <c r="J133" s="33"/>
      <c r="K133" s="35">
        <f t="array" ref="K133">vlookup(D133, {Armor!C:C,Armor!D:D}, 2, 0)</f>
        <v>3</v>
      </c>
      <c r="L133" s="33" t="str">
        <f t="array" ref="L133">vlookup(D133, {Costs!B:B,Costs!C:C}, 2, 0)</f>
        <v>1 Topaz
1 Star Fragment</v>
      </c>
      <c r="M133" s="36">
        <f t="array" ref="M133">vlookup(D133, {Armor!C:C,Armor!E:E}, 2, 0)</f>
        <v>5</v>
      </c>
      <c r="N133" s="33" t="str">
        <f t="array" ref="N133">vlookup(D133, {Costs!B:B,Costs!D:D}, 2, 0)</f>
        <v>4 Topaz
1 Star Fragment</v>
      </c>
      <c r="O133" s="36">
        <f t="array" ref="O133">vlookup(D133, {Armor!C:C,Armor!F:F}, 2, 0)</f>
        <v>8</v>
      </c>
      <c r="P133" s="33" t="str">
        <f t="array" ref="P133">vlookup(D133, {Costs!B:B,Costs!E:E}, 2, 0)</f>
        <v>6 Topaz
1 Star Fragment</v>
      </c>
      <c r="Q133" s="36">
        <f t="array" ref="Q133">vlookup(D133, {Armor!C:C,Armor!G:G}, 2, 0)</f>
        <v>12</v>
      </c>
      <c r="R133" s="33" t="str">
        <f t="array" ref="R133">vlookup(D133, {Costs!B:B,Costs!F:F}, 2, 0)</f>
        <v>10 Topaz
1 Star Fragment</v>
      </c>
      <c r="S133" s="32">
        <f t="array" ref="S133">vlookup(D133, {Armor!C:C,Armor!H:H}, 2, 0)</f>
        <v>20</v>
      </c>
    </row>
    <row r="134" ht="60.0" customHeight="1">
      <c r="A134" s="25">
        <v>133.0</v>
      </c>
      <c r="B134" s="25" t="s">
        <v>221</v>
      </c>
      <c r="C134" s="25" t="s">
        <v>60</v>
      </c>
      <c r="D134" s="26" t="s">
        <v>222</v>
      </c>
      <c r="E134" s="27" t="str">
        <f t="array" ref="E134">vlookup(D134, {Armor!C:C,Armor!A:A}, 2, 0)</f>
        <v/>
      </c>
      <c r="F134" s="27"/>
      <c r="G134" s="27"/>
      <c r="H134" s="27"/>
      <c r="I134" s="27"/>
      <c r="J134" s="27"/>
      <c r="K134" s="29">
        <f t="array" ref="K134">vlookup(D134, {Armor!C:C,Armor!D:D}, 2, 0)</f>
        <v>3</v>
      </c>
      <c r="L134" s="27" t="str">
        <f t="array" ref="L134">vlookup(D134, {Costs!B:B,Costs!C:C}, 2, 0)</f>
        <v>1 Sapphire
1 Star Fragment</v>
      </c>
      <c r="M134" s="30">
        <f t="array" ref="M134">vlookup(D134, {Armor!C:C,Armor!E:E}, 2, 0)</f>
        <v>5</v>
      </c>
      <c r="N134" s="27" t="str">
        <f t="array" ref="N134">vlookup(D134, {Costs!B:B,Costs!D:D}, 2, 0)</f>
        <v>4 Sapphire
1 Star Fragment</v>
      </c>
      <c r="O134" s="30">
        <f t="array" ref="O134">vlookup(D134, {Armor!C:C,Armor!F:F}, 2, 0)</f>
        <v>8</v>
      </c>
      <c r="P134" s="27" t="str">
        <f t="array" ref="P134">vlookup(D134, {Costs!B:B,Costs!E:E}, 2, 0)</f>
        <v>6 Sapphire
1 Star Fragment</v>
      </c>
      <c r="Q134" s="30">
        <f t="array" ref="Q134">vlookup(D134, {Armor!C:C,Armor!G:G}, 2, 0)</f>
        <v>12</v>
      </c>
      <c r="R134" s="27" t="str">
        <f t="array" ref="R134">vlookup(D134, {Costs!B:B,Costs!F:F}, 2, 0)</f>
        <v>10 Sapphire
1 Star Fragment</v>
      </c>
      <c r="S134" s="26">
        <f t="array" ref="S134">vlookup(D134, {Armor!C:C,Armor!H:H}, 2, 0)</f>
        <v>20</v>
      </c>
    </row>
    <row r="135" ht="60.0" customHeight="1">
      <c r="A135" s="31">
        <v>134.0</v>
      </c>
      <c r="B135" s="31" t="s">
        <v>221</v>
      </c>
      <c r="C135" s="31" t="s">
        <v>53</v>
      </c>
      <c r="D135" s="32" t="s">
        <v>223</v>
      </c>
      <c r="E135" s="33" t="str">
        <f t="array" ref="E135">vlookup(D135, {Armor!C:C,Armor!A:A}, 2, 0)</f>
        <v/>
      </c>
      <c r="F135" s="33"/>
      <c r="G135" s="33"/>
      <c r="H135" s="33"/>
      <c r="I135" s="33"/>
      <c r="J135" s="33"/>
      <c r="K135" s="35">
        <f t="array" ref="K135">vlookup(D135, {Armor!C:C,Armor!D:D}, 2, 0)</f>
        <v>3</v>
      </c>
      <c r="L135" s="33" t="str">
        <f t="array" ref="L135">vlookup(D135, {Costs!B:B,Costs!C:C}, 2, 0)</f>
        <v>1 Sapphire
1 Star Fragment</v>
      </c>
      <c r="M135" s="36">
        <f t="array" ref="M135">vlookup(D135, {Armor!C:C,Armor!E:E}, 2, 0)</f>
        <v>5</v>
      </c>
      <c r="N135" s="33" t="str">
        <f t="array" ref="N135">vlookup(D135, {Costs!B:B,Costs!D:D}, 2, 0)</f>
        <v>4 Sapphire
1 Star Fragment</v>
      </c>
      <c r="O135" s="36">
        <f t="array" ref="O135">vlookup(D135, {Armor!C:C,Armor!F:F}, 2, 0)</f>
        <v>8</v>
      </c>
      <c r="P135" s="33" t="str">
        <f t="array" ref="P135">vlookup(D135, {Costs!B:B,Costs!E:E}, 2, 0)</f>
        <v>6 Sapphire
1 Star Fragment</v>
      </c>
      <c r="Q135" s="36">
        <f t="array" ref="Q135">vlookup(D135, {Armor!C:C,Armor!G:G}, 2, 0)</f>
        <v>12</v>
      </c>
      <c r="R135" s="33" t="str">
        <f t="array" ref="R135">vlookup(D135, {Costs!B:B,Costs!F:F}, 2, 0)</f>
        <v>10 Sapphire
1 Star Fragment</v>
      </c>
      <c r="S135" s="32">
        <f t="array" ref="S135">vlookup(D135, {Armor!C:C,Armor!H:H}, 2, 0)</f>
        <v>20</v>
      </c>
    </row>
    <row r="136" ht="60.0" customHeight="1">
      <c r="A136" s="25">
        <v>135.0</v>
      </c>
      <c r="B136" s="25" t="s">
        <v>221</v>
      </c>
      <c r="C136" s="25" t="s">
        <v>56</v>
      </c>
      <c r="D136" s="26" t="s">
        <v>224</v>
      </c>
      <c r="E136" s="27" t="str">
        <f t="array" ref="E136">vlookup(D136, {Armor!C:C,Armor!A:A}, 2, 0)</f>
        <v/>
      </c>
      <c r="F136" s="27"/>
      <c r="G136" s="27"/>
      <c r="H136" s="27"/>
      <c r="I136" s="27"/>
      <c r="J136" s="27"/>
      <c r="K136" s="29">
        <f t="array" ref="K136">vlookup(D136, {Armor!C:C,Armor!D:D}, 2, 0)</f>
        <v>3</v>
      </c>
      <c r="L136" s="27" t="str">
        <f t="array" ref="L136">vlookup(D136, {Costs!B:B,Costs!C:C}, 2, 0)</f>
        <v>1 Sapphire
1 Star Fragment</v>
      </c>
      <c r="M136" s="30">
        <f t="array" ref="M136">vlookup(D136, {Armor!C:C,Armor!E:E}, 2, 0)</f>
        <v>5</v>
      </c>
      <c r="N136" s="27" t="str">
        <f t="array" ref="N136">vlookup(D136, {Costs!B:B,Costs!D:D}, 2, 0)</f>
        <v>4 Sapphire
1 Star Fragment</v>
      </c>
      <c r="O136" s="30">
        <f t="array" ref="O136">vlookup(D136, {Armor!C:C,Armor!F:F}, 2, 0)</f>
        <v>8</v>
      </c>
      <c r="P136" s="27" t="str">
        <f t="array" ref="P136">vlookup(D136, {Costs!B:B,Costs!E:E}, 2, 0)</f>
        <v>6 Sapphire
1 Star Fragment</v>
      </c>
      <c r="Q136" s="30">
        <f t="array" ref="Q136">vlookup(D136, {Armor!C:C,Armor!G:G}, 2, 0)</f>
        <v>12</v>
      </c>
      <c r="R136" s="27" t="str">
        <f t="array" ref="R136">vlookup(D136, {Costs!B:B,Costs!F:F}, 2, 0)</f>
        <v>10 Sapphire
1 Star Fragment</v>
      </c>
      <c r="S136" s="26">
        <f t="array" ref="S136">vlookup(D136, {Armor!C:C,Armor!H:H}, 2, 0)</f>
        <v>20</v>
      </c>
    </row>
    <row r="137" ht="60.0" customHeight="1">
      <c r="A137" s="31">
        <v>136.0</v>
      </c>
      <c r="B137" s="40" t="s">
        <v>225</v>
      </c>
      <c r="C137" s="31" t="s">
        <v>226</v>
      </c>
      <c r="D137" s="32" t="s">
        <v>227</v>
      </c>
      <c r="E137" s="33" t="str">
        <f t="array" ref="E137">vlookup(D137, {Armor!C:C,Armor!A:A}, 2, 0)</f>
        <v/>
      </c>
      <c r="F137" s="33"/>
      <c r="G137" s="33"/>
      <c r="H137" s="33"/>
      <c r="I137" s="33"/>
      <c r="J137" s="33"/>
      <c r="K137" s="35">
        <f t="array" ref="K137">vlookup(D137, {Armor!C:C,Armor!D:D}, 2, 0)</f>
        <v>12</v>
      </c>
      <c r="L137" s="33" t="str">
        <f t="array" ref="L137">vlookup(D137, {Costs!B:B,Costs!C:C}, 2, 0)</f>
        <v>9 Silver Bokoblin Horn
9 Hinox Guts
15 Zonaite
30 Rupee</v>
      </c>
      <c r="M137" s="36">
        <f t="array" ref="M137">vlookup(D137, {Armor!C:C,Armor!E:E}, 2, 0)</f>
        <v>21</v>
      </c>
      <c r="N137" s="33" t="str">
        <f t="array" ref="N137">vlookup(D137, {Costs!B:B,Costs!D:D}, 2, 0)</f>
        <v>9 Silver Moblin Horn
9 Frox Guts
10 Large Zonaite
150 Rupee</v>
      </c>
      <c r="O137" s="36">
        <f t="array" ref="O137">vlookup(D137, {Armor!C:C,Armor!F:F}, 2, 0)</f>
        <v>36</v>
      </c>
      <c r="P137" s="33" t="str">
        <f t="array" ref="P137">vlookup(D137, {Costs!B:B,Costs!E:E}, 2, 0)</f>
        <v>9 Silver Lizalfos Horn
9 Molduga Guts
15 Large Zonaite
600 Rupee</v>
      </c>
      <c r="Q137" s="36">
        <f t="array" ref="Q137">vlookup(D137, {Armor!C:C,Armor!G:G}, 2, 0)</f>
        <v>54</v>
      </c>
      <c r="R137" s="33" t="str">
        <f t="array" ref="R137">vlookup(D137, {Costs!B:B,Costs!F:F}, 2, 0)</f>
        <v>9 Silver Lynel Saber Horn
9 Silver Lynel Mace Horn
9 Gleeok Guts
1500 Rupee</v>
      </c>
      <c r="S137" s="32">
        <f t="array" ref="S137">vlookup(D137, {Armor!C:C,Armor!H:H}, 2, 0)</f>
        <v>84</v>
      </c>
    </row>
  </sheetData>
  <autoFilter ref="$F$1:$J$137"/>
  <conditionalFormatting sqref="A1:S137">
    <cfRule type="cellIs" dxfId="4" priority="1" operator="equal">
      <formula>"n/a"</formula>
    </cfRule>
  </conditionalFormatting>
  <conditionalFormatting sqref="C1:C137">
    <cfRule type="containsText" dxfId="5" priority="2" operator="containsText" text="head">
      <formula>NOT(ISERROR(SEARCH(("head"),(C1))))</formula>
    </cfRule>
  </conditionalFormatting>
  <conditionalFormatting sqref="C1:C137">
    <cfRule type="containsText" dxfId="6" priority="3" operator="containsText" text="upper">
      <formula>NOT(ISERROR(SEARCH(("upper"),(C1))))</formula>
    </cfRule>
  </conditionalFormatting>
  <conditionalFormatting sqref="C1:C137">
    <cfRule type="containsText" dxfId="7" priority="4" operator="containsText" text="lower">
      <formula>NOT(ISERROR(SEARCH(("lower"),(C1))))</formula>
    </cfRule>
  </conditionalFormatting>
  <conditionalFormatting sqref="F1:J137">
    <cfRule type="notContainsBlanks" dxfId="8" priority="5">
      <formula>LEN(TRIM(F1))&gt;0</formula>
    </cfRule>
  </conditionalFormatting>
  <conditionalFormatting sqref="F1:S137">
    <cfRule type="cellIs" dxfId="8" priority="6" operator="equal">
      <formula>"x"</formula>
    </cfRule>
  </conditionalFormatting>
  <drawing r:id="rId1"/>
</worksheet>
</file>

<file path=xl/worksheets/sheet3.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showGridLines="0" workbookViewId="0">
      <pane ySplit="1.0" topLeftCell="A2" activePane="bottomLeft" state="frozen"/>
      <selection activeCell="B3" sqref="B3" pane="bottomLeft"/>
    </sheetView>
  </sheetViews>
  <sheetFormatPr customHeight="1" defaultColWidth="12.63" defaultRowHeight="15.75"/>
  <cols>
    <col customWidth="1" min="1" max="3" width="7.63"/>
    <col customWidth="1" min="4" max="4" width="17.88"/>
    <col customWidth="1" min="5" max="6" width="7.63"/>
  </cols>
  <sheetData>
    <row r="1" ht="39.75" customHeight="1">
      <c r="A1" s="41" t="s">
        <v>228</v>
      </c>
      <c r="B1" s="42" t="s">
        <v>229</v>
      </c>
      <c r="C1" s="43" t="s">
        <v>37</v>
      </c>
      <c r="D1" s="44" t="s">
        <v>230</v>
      </c>
      <c r="E1" s="22" t="s">
        <v>14</v>
      </c>
      <c r="F1" s="22" t="s">
        <v>16</v>
      </c>
    </row>
    <row r="2" ht="39.75" customHeight="1">
      <c r="A2" s="45">
        <f t="array" ref="A2">vlookup(D2, {MatID!C:C,MatID!A:A}, 2, 0)</f>
        <v>1</v>
      </c>
      <c r="B2" s="46" t="str">
        <f t="array" ref="B2">vlookup(D2, {MatID!C:C,MatID!B:B}, 2, 0)</f>
        <v>fruit</v>
      </c>
      <c r="C2" s="27" t="str">
        <f t="array" ref="C2">vlookup(D2, {Mats!B:B,Mats!A:A}, 2, 0)</f>
        <v/>
      </c>
      <c r="D2" s="47" t="s">
        <v>231</v>
      </c>
      <c r="E2" s="26">
        <v>60.0</v>
      </c>
      <c r="F2" s="26">
        <f>SUMIF(Tally!$AC:$AC,$D2,Tally!$V:$V)</f>
        <v>60</v>
      </c>
    </row>
    <row r="3" ht="39.75" customHeight="1">
      <c r="A3" s="48">
        <f t="array" ref="A3">vlookup(D3, {MatID!C:C,MatID!A:A}, 2, 0)</f>
        <v>1</v>
      </c>
      <c r="B3" s="49" t="str">
        <f t="array" ref="B3">vlookup(D3, {MatID!C:C,MatID!B:B}, 2, 0)</f>
        <v>fruit</v>
      </c>
      <c r="C3" s="33" t="str">
        <f t="array" ref="C3">vlookup(D3, {Mats!B:B,Mats!A:A}, 2, 0)</f>
        <v/>
      </c>
      <c r="D3" s="50" t="s">
        <v>232</v>
      </c>
      <c r="E3" s="32">
        <v>9.0</v>
      </c>
      <c r="F3" s="32">
        <f>SUMIF(Tally!$AC:$AC,$D3,Tally!$V:$V)</f>
        <v>9</v>
      </c>
    </row>
    <row r="4" ht="39.75" customHeight="1">
      <c r="A4" s="45">
        <f t="array" ref="A4">vlookup(D4, {MatID!C:C,MatID!A:A}, 2, 0)</f>
        <v>1</v>
      </c>
      <c r="B4" s="46" t="str">
        <f t="array" ref="B4">vlookup(D4, {MatID!C:C,MatID!B:B}, 2, 0)</f>
        <v>fruit</v>
      </c>
      <c r="C4" s="27" t="str">
        <f t="array" ref="C4">vlookup(D4, {Mats!B:B,Mats!A:A}, 2, 0)</f>
        <v/>
      </c>
      <c r="D4" s="47" t="s">
        <v>233</v>
      </c>
      <c r="E4" s="26">
        <v>9.0</v>
      </c>
      <c r="F4" s="26">
        <f>SUMIF(Tally!$AC:$AC,$D4,Tally!$V:$V)</f>
        <v>9</v>
      </c>
    </row>
    <row r="5" ht="39.75" customHeight="1">
      <c r="A5" s="48">
        <f t="array" ref="A5">vlookup(D5, {MatID!C:C,MatID!A:A}, 2, 0)</f>
        <v>1</v>
      </c>
      <c r="B5" s="49" t="str">
        <f t="array" ref="B5">vlookup(D5, {MatID!C:C,MatID!B:B}, 2, 0)</f>
        <v>fruit</v>
      </c>
      <c r="C5" s="33" t="str">
        <f t="array" ref="C5">vlookup(D5, {Mats!B:B,Mats!A:A}, 2, 0)</f>
        <v/>
      </c>
      <c r="D5" s="50" t="s">
        <v>234</v>
      </c>
      <c r="E5" s="32">
        <v>30.0</v>
      </c>
      <c r="F5" s="32">
        <f>SUMIF(Tally!$AC:$AC,$D5,Tally!$V:$V)</f>
        <v>30</v>
      </c>
    </row>
    <row r="6" ht="39.75" customHeight="1">
      <c r="A6" s="45">
        <f t="array" ref="A6">vlookup(D6, {MatID!C:C,MatID!A:A}, 2, 0)</f>
        <v>1</v>
      </c>
      <c r="B6" s="46" t="str">
        <f t="array" ref="B6">vlookup(D6, {MatID!C:C,MatID!B:B}, 2, 0)</f>
        <v>fruit</v>
      </c>
      <c r="C6" s="27" t="str">
        <f t="array" ref="C6">vlookup(D6, {Mats!B:B,Mats!A:A}, 2, 0)</f>
        <v/>
      </c>
      <c r="D6" s="47" t="s">
        <v>235</v>
      </c>
      <c r="E6" s="26">
        <v>9.0</v>
      </c>
      <c r="F6" s="26">
        <f>SUMIF(Tally!$AC:$AC,$D6,Tally!$V:$V)</f>
        <v>9</v>
      </c>
    </row>
    <row r="7" ht="39.75" customHeight="1">
      <c r="A7" s="48">
        <f t="array" ref="A7">vlookup(D7, {MatID!C:C,MatID!A:A}, 2, 0)</f>
        <v>1</v>
      </c>
      <c r="B7" s="49" t="str">
        <f t="array" ref="B7">vlookup(D7, {MatID!C:C,MatID!B:B}, 2, 0)</f>
        <v>fruit</v>
      </c>
      <c r="C7" s="33" t="str">
        <f t="array" ref="C7">vlookup(D7, {Mats!B:B,Mats!A:A}, 2, 0)</f>
        <v/>
      </c>
      <c r="D7" s="50" t="s">
        <v>236</v>
      </c>
      <c r="E7" s="32">
        <v>15.0</v>
      </c>
      <c r="F7" s="32">
        <f>SUMIF(Tally!$AC:$AC,$D7,Tally!$V:$V)</f>
        <v>15</v>
      </c>
    </row>
    <row r="8" ht="39.75" customHeight="1">
      <c r="A8" s="45">
        <f t="array" ref="A8">vlookup(D8, {MatID!C:C,MatID!A:A}, 2, 0)</f>
        <v>2</v>
      </c>
      <c r="B8" s="46" t="str">
        <f t="array" ref="B8">vlookup(D8, {MatID!C:C,MatID!B:B}, 2, 0)</f>
        <v>mushroom</v>
      </c>
      <c r="C8" s="27" t="str">
        <f t="array" ref="C8">vlookup(D8, {Mats!B:B,Mats!A:A}, 2, 0)</f>
        <v/>
      </c>
      <c r="D8" s="47" t="s">
        <v>237</v>
      </c>
      <c r="E8" s="26">
        <v>15.0</v>
      </c>
      <c r="F8" s="26">
        <f>SUMIF(Tally!$AC:$AC,$D8,Tally!$V:$V)</f>
        <v>15</v>
      </c>
    </row>
    <row r="9" ht="39.75" customHeight="1">
      <c r="A9" s="48">
        <f t="array" ref="A9">vlookup(D9, {MatID!C:C,MatID!A:A}, 2, 0)</f>
        <v>2</v>
      </c>
      <c r="B9" s="49" t="str">
        <f t="array" ref="B9">vlookup(D9, {MatID!C:C,MatID!B:B}, 2, 0)</f>
        <v>mushroom</v>
      </c>
      <c r="C9" s="33" t="str">
        <f t="array" ref="C9">vlookup(D9, {Mats!B:B,Mats!A:A}, 2, 0)</f>
        <v/>
      </c>
      <c r="D9" s="50" t="s">
        <v>238</v>
      </c>
      <c r="E9" s="32">
        <v>15.0</v>
      </c>
      <c r="F9" s="32">
        <f>SUMIF(Tally!$AC:$AC,$D9,Tally!$V:$V)</f>
        <v>15</v>
      </c>
    </row>
    <row r="10" ht="39.75" customHeight="1">
      <c r="A10" s="45">
        <f t="array" ref="A10">vlookup(D10, {MatID!C:C,MatID!A:A}, 2, 0)</f>
        <v>2</v>
      </c>
      <c r="B10" s="46" t="str">
        <f t="array" ref="B10">vlookup(D10, {MatID!C:C,MatID!B:B}, 2, 0)</f>
        <v>mushroom</v>
      </c>
      <c r="C10" s="27" t="str">
        <f t="array" ref="C10">vlookup(D10, {Mats!B:B,Mats!A:A}, 2, 0)</f>
        <v/>
      </c>
      <c r="D10" s="47" t="s">
        <v>239</v>
      </c>
      <c r="E10" s="26">
        <v>9.0</v>
      </c>
      <c r="F10" s="26">
        <f>SUMIF(Tally!$AC:$AC,$D10,Tally!$V:$V)</f>
        <v>9</v>
      </c>
    </row>
    <row r="11" ht="39.75" customHeight="1">
      <c r="A11" s="48">
        <f t="array" ref="A11">vlookup(D11, {MatID!C:C,MatID!A:A}, 2, 0)</f>
        <v>2</v>
      </c>
      <c r="B11" s="49" t="str">
        <f t="array" ref="B11">vlookup(D11, {MatID!C:C,MatID!B:B}, 2, 0)</f>
        <v>mushroom</v>
      </c>
      <c r="C11" s="33" t="str">
        <f t="array" ref="C11">vlookup(D11, {Mats!B:B,Mats!A:A}, 2, 0)</f>
        <v/>
      </c>
      <c r="D11" s="50" t="s">
        <v>240</v>
      </c>
      <c r="E11" s="32">
        <v>15.0</v>
      </c>
      <c r="F11" s="32">
        <f>SUMIF(Tally!$AC:$AC,$D11,Tally!$V:$V)</f>
        <v>15</v>
      </c>
    </row>
    <row r="12" ht="39.75" customHeight="1">
      <c r="A12" s="45">
        <f t="array" ref="A12">vlookup(D12, {MatID!C:C,MatID!A:A}, 2, 0)</f>
        <v>2</v>
      </c>
      <c r="B12" s="46" t="str">
        <f t="array" ref="B12">vlookup(D12, {MatID!C:C,MatID!B:B}, 2, 0)</f>
        <v>mushroom</v>
      </c>
      <c r="C12" s="27" t="str">
        <f t="array" ref="C12">vlookup(D12, {Mats!B:B,Mats!A:A}, 2, 0)</f>
        <v/>
      </c>
      <c r="D12" s="47" t="s">
        <v>241</v>
      </c>
      <c r="E12" s="26">
        <v>39.0</v>
      </c>
      <c r="F12" s="26">
        <f>SUMIF(Tally!$AC:$AC,$D12,Tally!$V:$V)</f>
        <v>39</v>
      </c>
    </row>
    <row r="13" ht="39.75" customHeight="1">
      <c r="A13" s="48">
        <f t="array" ref="A13">vlookup(D13, {MatID!C:C,MatID!A:A}, 2, 0)</f>
        <v>2</v>
      </c>
      <c r="B13" s="49" t="str">
        <f t="array" ref="B13">vlookup(D13, {MatID!C:C,MatID!B:B}, 2, 0)</f>
        <v>mushroom</v>
      </c>
      <c r="C13" s="33" t="str">
        <f t="array" ref="C13">vlookup(D13, {Mats!B:B,Mats!A:A}, 2, 0)</f>
        <v/>
      </c>
      <c r="D13" s="50" t="s">
        <v>242</v>
      </c>
      <c r="E13" s="32">
        <v>24.0</v>
      </c>
      <c r="F13" s="32">
        <f>SUMIF(Tally!$AC:$AC,$D13,Tally!$V:$V)</f>
        <v>24</v>
      </c>
    </row>
    <row r="14" ht="39.75" customHeight="1">
      <c r="A14" s="45">
        <f t="array" ref="A14">vlookup(D14, {MatID!C:C,MatID!A:A}, 2, 0)</f>
        <v>2</v>
      </c>
      <c r="B14" s="46" t="str">
        <f t="array" ref="B14">vlookup(D14, {MatID!C:C,MatID!B:B}, 2, 0)</f>
        <v>mushroom</v>
      </c>
      <c r="C14" s="27" t="str">
        <f t="array" ref="C14">vlookup(D14, {Mats!B:B,Mats!A:A}, 2, 0)</f>
        <v/>
      </c>
      <c r="D14" s="47" t="s">
        <v>243</v>
      </c>
      <c r="E14" s="26">
        <v>15.0</v>
      </c>
      <c r="F14" s="26">
        <f>SUMIF(Tally!$AC:$AC,$D14,Tally!$V:$V)</f>
        <v>15</v>
      </c>
    </row>
    <row r="15" ht="39.75" customHeight="1">
      <c r="A15" s="48">
        <f t="array" ref="A15">vlookup(D15, {MatID!C:C,MatID!A:A}, 2, 0)</f>
        <v>2</v>
      </c>
      <c r="B15" s="49" t="str">
        <f t="array" ref="B15">vlookup(D15, {MatID!C:C,MatID!B:B}, 2, 0)</f>
        <v>mushroom</v>
      </c>
      <c r="C15" s="33" t="str">
        <f t="array" ref="C15">vlookup(D15, {Mats!B:B,Mats!A:A}, 2, 0)</f>
        <v/>
      </c>
      <c r="D15" s="50" t="s">
        <v>244</v>
      </c>
      <c r="E15" s="32">
        <v>15.0</v>
      </c>
      <c r="F15" s="32">
        <f>SUMIF(Tally!$AC:$AC,$D15,Tally!$V:$V)</f>
        <v>15</v>
      </c>
    </row>
    <row r="16" ht="39.75" customHeight="1">
      <c r="A16" s="45">
        <f t="array" ref="A16">vlookup(D16, {MatID!C:C,MatID!A:A}, 2, 0)</f>
        <v>3</v>
      </c>
      <c r="B16" s="46" t="str">
        <f t="array" ref="B16">vlookup(D16, {MatID!C:C,MatID!B:B}, 2, 0)</f>
        <v>greens</v>
      </c>
      <c r="C16" s="27" t="str">
        <f t="array" ref="C16">vlookup(D16, {Mats!B:B,Mats!A:A}, 2, 0)</f>
        <v/>
      </c>
      <c r="D16" s="47" t="s">
        <v>245</v>
      </c>
      <c r="E16" s="26">
        <v>24.0</v>
      </c>
      <c r="F16" s="26">
        <f>SUMIF(Tally!$AC:$AC,$D16,Tally!$V:$V)</f>
        <v>24</v>
      </c>
    </row>
    <row r="17" ht="39.75" customHeight="1">
      <c r="A17" s="48">
        <f t="array" ref="A17">vlookup(D17, {MatID!C:C,MatID!A:A}, 2, 0)</f>
        <v>3</v>
      </c>
      <c r="B17" s="49" t="str">
        <f t="array" ref="B17">vlookup(D17, {MatID!C:C,MatID!B:B}, 2, 0)</f>
        <v>greens</v>
      </c>
      <c r="C17" s="33" t="str">
        <f t="array" ref="C17">vlookup(D17, {Mats!B:B,Mats!A:A}, 2, 0)</f>
        <v/>
      </c>
      <c r="D17" s="50" t="s">
        <v>246</v>
      </c>
      <c r="E17" s="32">
        <v>9.0</v>
      </c>
      <c r="F17" s="32">
        <f>SUMIF(Tally!$AC:$AC,$D17,Tally!$V:$V)</f>
        <v>9</v>
      </c>
    </row>
    <row r="18" ht="39.75" customHeight="1">
      <c r="A18" s="45">
        <f t="array" ref="A18">vlookup(D18, {MatID!C:C,MatID!A:A}, 2, 0)</f>
        <v>3</v>
      </c>
      <c r="B18" s="46" t="str">
        <f t="array" ref="B18">vlookup(D18, {MatID!C:C,MatID!B:B}, 2, 0)</f>
        <v>greens</v>
      </c>
      <c r="C18" s="27" t="str">
        <f t="array" ref="C18">vlookup(D18, {Mats!B:B,Mats!A:A}, 2, 0)</f>
        <v/>
      </c>
      <c r="D18" s="47" t="s">
        <v>247</v>
      </c>
      <c r="E18" s="26">
        <v>24.0</v>
      </c>
      <c r="F18" s="26">
        <f>SUMIF(Tally!$AC:$AC,$D18,Tally!$V:$V)</f>
        <v>24</v>
      </c>
    </row>
    <row r="19" ht="39.75" customHeight="1">
      <c r="A19" s="48">
        <f t="array" ref="A19">vlookup(D19, {MatID!C:C,MatID!A:A}, 2, 0)</f>
        <v>3</v>
      </c>
      <c r="B19" s="49" t="str">
        <f t="array" ref="B19">vlookup(D19, {MatID!C:C,MatID!B:B}, 2, 0)</f>
        <v>greens</v>
      </c>
      <c r="C19" s="33" t="str">
        <f t="array" ref="C19">vlookup(D19, {Mats!B:B,Mats!A:A}, 2, 0)</f>
        <v/>
      </c>
      <c r="D19" s="50" t="s">
        <v>248</v>
      </c>
      <c r="E19" s="32">
        <v>9.0</v>
      </c>
      <c r="F19" s="32">
        <f>SUMIF(Tally!$AC:$AC,$D19,Tally!$V:$V)</f>
        <v>9</v>
      </c>
    </row>
    <row r="20" ht="39.75" customHeight="1">
      <c r="A20" s="45">
        <f t="array" ref="A20">vlookup(D20, {MatID!C:C,MatID!A:A}, 2, 0)</f>
        <v>3</v>
      </c>
      <c r="B20" s="46" t="str">
        <f t="array" ref="B20">vlookup(D20, {MatID!C:C,MatID!B:B}, 2, 0)</f>
        <v>greens</v>
      </c>
      <c r="C20" s="27" t="str">
        <f t="array" ref="C20">vlookup(D20, {Mats!B:B,Mats!A:A}, 2, 0)</f>
        <v/>
      </c>
      <c r="D20" s="47" t="s">
        <v>249</v>
      </c>
      <c r="E20" s="26">
        <v>72.0</v>
      </c>
      <c r="F20" s="26">
        <f>SUMIF(Tally!$AC:$AC,$D20,Tally!$V:$V)</f>
        <v>72</v>
      </c>
    </row>
    <row r="21" ht="39.75" customHeight="1">
      <c r="A21" s="48">
        <f t="array" ref="A21">vlookup(D21, {MatID!C:C,MatID!A:A}, 2, 0)</f>
        <v>3</v>
      </c>
      <c r="B21" s="49" t="str">
        <f t="array" ref="B21">vlookup(D21, {MatID!C:C,MatID!B:B}, 2, 0)</f>
        <v>greens</v>
      </c>
      <c r="C21" s="33" t="str">
        <f t="array" ref="C21">vlookup(D21, {Mats!B:B,Mats!A:A}, 2, 0)</f>
        <v/>
      </c>
      <c r="D21" s="50" t="s">
        <v>250</v>
      </c>
      <c r="E21" s="32">
        <v>75.0</v>
      </c>
      <c r="F21" s="32">
        <f>SUMIF(Tally!$AC:$AC,$D21,Tally!$V:$V)</f>
        <v>75</v>
      </c>
    </row>
    <row r="22" ht="39.75" customHeight="1">
      <c r="A22" s="45">
        <f t="array" ref="A22">vlookup(D22, {MatID!C:C,MatID!A:A}, 2, 0)</f>
        <v>3</v>
      </c>
      <c r="B22" s="46" t="str">
        <f t="array" ref="B22">vlookup(D22, {MatID!C:C,MatID!B:B}, 2, 0)</f>
        <v>greens</v>
      </c>
      <c r="C22" s="27" t="str">
        <f t="array" ref="C22">vlookup(D22, {Mats!B:B,Mats!A:A}, 2, 0)</f>
        <v/>
      </c>
      <c r="D22" s="47" t="s">
        <v>251</v>
      </c>
      <c r="E22" s="26">
        <v>10.0</v>
      </c>
      <c r="F22" s="26">
        <f>SUMIF(Tally!$AC:$AC,$D22,Tally!$V:$V)</f>
        <v>10</v>
      </c>
    </row>
    <row r="23" ht="39.75" customHeight="1">
      <c r="A23" s="48">
        <f t="array" ref="A23">vlookup(D23, {MatID!C:C,MatID!A:A}, 2, 0)</f>
        <v>3</v>
      </c>
      <c r="B23" s="49" t="str">
        <f t="array" ref="B23">vlookup(D23, {MatID!C:C,MatID!B:B}, 2, 0)</f>
        <v>greens</v>
      </c>
      <c r="C23" s="33" t="str">
        <f t="array" ref="C23">vlookup(D23, {Mats!B:B,Mats!A:A}, 2, 0)</f>
        <v/>
      </c>
      <c r="D23" s="50" t="s">
        <v>252</v>
      </c>
      <c r="E23" s="32">
        <v>90.0</v>
      </c>
      <c r="F23" s="32">
        <f>SUMIF(Tally!$AC:$AC,$D23,Tally!$V:$V)</f>
        <v>90</v>
      </c>
    </row>
    <row r="24" ht="39.75" customHeight="1">
      <c r="A24" s="45">
        <f t="array" ref="A24">vlookup(D24, {MatID!C:C,MatID!A:A}, 2, 0)</f>
        <v>3</v>
      </c>
      <c r="B24" s="46" t="str">
        <f t="array" ref="B24">vlookup(D24, {MatID!C:C,MatID!B:B}, 2, 0)</f>
        <v>greens</v>
      </c>
      <c r="C24" s="27" t="str">
        <f t="array" ref="C24">vlookup(D24, {Mats!B:B,Mats!A:A}, 2, 0)</f>
        <v/>
      </c>
      <c r="D24" s="47" t="s">
        <v>253</v>
      </c>
      <c r="E24" s="26">
        <v>9.0</v>
      </c>
      <c r="F24" s="26">
        <f>SUMIF(Tally!$AC:$AC,$D24,Tally!$V:$V)</f>
        <v>9</v>
      </c>
    </row>
    <row r="25" ht="39.75" customHeight="1">
      <c r="A25" s="48">
        <f t="array" ref="A25">vlookup(D25, {MatID!C:C,MatID!A:A}, 2, 0)</f>
        <v>5</v>
      </c>
      <c r="B25" s="49" t="str">
        <f t="array" ref="B25">vlookup(D25, {MatID!C:C,MatID!B:B}, 2, 0)</f>
        <v>Seasoning</v>
      </c>
      <c r="C25" s="33" t="str">
        <f t="array" ref="C25">vlookup(D25, {Mats!B:B,Mats!A:A}, 2, 0)</f>
        <v/>
      </c>
      <c r="D25" s="50" t="s">
        <v>254</v>
      </c>
      <c r="E25" s="32">
        <v>30.0</v>
      </c>
      <c r="F25" s="32">
        <f>SUMIF(Tally!$AC:$AC,$D25,Tally!$V:$V)</f>
        <v>30</v>
      </c>
    </row>
    <row r="26" ht="39.75" customHeight="1">
      <c r="A26" s="45">
        <f t="array" ref="A26">vlookup(D26, {MatID!C:C,MatID!A:A}, 2, 0)</f>
        <v>5</v>
      </c>
      <c r="B26" s="46" t="str">
        <f t="array" ref="B26">vlookup(D26, {MatID!C:C,MatID!B:B}, 2, 0)</f>
        <v>Seasoning</v>
      </c>
      <c r="C26" s="27" t="str">
        <f t="array" ref="C26">vlookup(D26, {Mats!B:B,Mats!A:A}, 2, 0)</f>
        <v/>
      </c>
      <c r="D26" s="47" t="s">
        <v>255</v>
      </c>
      <c r="E26" s="26">
        <v>15.0</v>
      </c>
      <c r="F26" s="26">
        <f>SUMIF(Tally!$AC:$AC,$D26,Tally!$V:$V)</f>
        <v>15</v>
      </c>
    </row>
    <row r="27" ht="39.75" customHeight="1">
      <c r="A27" s="48">
        <f t="array" ref="A27">vlookup(D27, {MatID!C:C,MatID!A:A}, 2, 0)</f>
        <v>5</v>
      </c>
      <c r="B27" s="49" t="str">
        <f t="array" ref="B27">vlookup(D27, {MatID!C:C,MatID!B:B}, 2, 0)</f>
        <v>Seasoning</v>
      </c>
      <c r="C27" s="33" t="str">
        <f t="array" ref="C27">vlookup(D27, {Mats!B:B,Mats!A:A}, 2, 0)</f>
        <v/>
      </c>
      <c r="D27" s="50" t="s">
        <v>256</v>
      </c>
      <c r="E27" s="32">
        <v>15.0</v>
      </c>
      <c r="F27" s="32">
        <f>SUMIF(Tally!$AC:$AC,$D27,Tally!$V:$V)</f>
        <v>15</v>
      </c>
    </row>
    <row r="28" ht="39.75" customHeight="1">
      <c r="A28" s="45">
        <f t="array" ref="A28">vlookup(D28, {MatID!C:C,MatID!A:A}, 2, 0)</f>
        <v>5</v>
      </c>
      <c r="B28" s="46" t="str">
        <f t="array" ref="B28">vlookup(D28, {MatID!C:C,MatID!B:B}, 2, 0)</f>
        <v>Seasoning</v>
      </c>
      <c r="C28" s="27" t="str">
        <f t="array" ref="C28">vlookup(D28, {Mats!B:B,Mats!A:A}, 2, 0)</f>
        <v/>
      </c>
      <c r="D28" s="47" t="s">
        <v>257</v>
      </c>
      <c r="E28" s="26">
        <v>103.0</v>
      </c>
      <c r="F28" s="26">
        <f>SUMIF(Tally!$AC:$AC,$D28,Tally!$V:$V)</f>
        <v>103</v>
      </c>
    </row>
    <row r="29" ht="39.75" customHeight="1">
      <c r="A29" s="48">
        <f t="array" ref="A29">vlookup(D29, {MatID!C:C,MatID!A:A}, 2, 0)</f>
        <v>6</v>
      </c>
      <c r="B29" s="49" t="str">
        <f t="array" ref="B29">vlookup(D29, {MatID!C:C,MatID!B:B}, 2, 0)</f>
        <v>Fish</v>
      </c>
      <c r="C29" s="33" t="str">
        <f t="array" ref="C29">vlookup(D29, {Mats!B:B,Mats!A:A}, 2, 0)</f>
        <v/>
      </c>
      <c r="D29" s="50" t="s">
        <v>258</v>
      </c>
      <c r="E29" s="32">
        <v>30.0</v>
      </c>
      <c r="F29" s="32">
        <f>SUMIF(Tally!$AC:$AC,$D29,Tally!$V:$V)</f>
        <v>30</v>
      </c>
    </row>
    <row r="30" ht="39.75" customHeight="1">
      <c r="A30" s="45">
        <f t="array" ref="A30">vlookup(D30, {MatID!C:C,MatID!A:A}, 2, 0)</f>
        <v>6</v>
      </c>
      <c r="B30" s="46" t="str">
        <f t="array" ref="B30">vlookup(D30, {MatID!C:C,MatID!B:B}, 2, 0)</f>
        <v>Fish</v>
      </c>
      <c r="C30" s="27" t="str">
        <f t="array" ref="C30">vlookup(D30, {Mats!B:B,Mats!A:A}, 2, 0)</f>
        <v/>
      </c>
      <c r="D30" s="47" t="s">
        <v>259</v>
      </c>
      <c r="E30" s="26">
        <v>15.0</v>
      </c>
      <c r="F30" s="26">
        <f>SUMIF(Tally!$AC:$AC,$D30,Tally!$V:$V)</f>
        <v>15</v>
      </c>
    </row>
    <row r="31" ht="39.75" customHeight="1">
      <c r="A31" s="48">
        <f t="array" ref="A31">vlookup(D31, {MatID!C:C,MatID!A:A}, 2, 0)</f>
        <v>6</v>
      </c>
      <c r="B31" s="49" t="str">
        <f t="array" ref="B31">vlookup(D31, {MatID!C:C,MatID!B:B}, 2, 0)</f>
        <v>Fish</v>
      </c>
      <c r="C31" s="33" t="str">
        <f t="array" ref="C31">vlookup(D31, {Mats!B:B,Mats!A:A}, 2, 0)</f>
        <v/>
      </c>
      <c r="D31" s="50" t="s">
        <v>260</v>
      </c>
      <c r="E31" s="32">
        <v>9.0</v>
      </c>
      <c r="F31" s="32">
        <f>SUMIF(Tally!$AC:$AC,$D31,Tally!$V:$V)</f>
        <v>9</v>
      </c>
    </row>
    <row r="32" ht="39.75" customHeight="1">
      <c r="A32" s="45">
        <f t="array" ref="A32">vlookup(D32, {MatID!C:C,MatID!A:A}, 2, 0)</f>
        <v>6</v>
      </c>
      <c r="B32" s="46" t="str">
        <f t="array" ref="B32">vlookup(D32, {MatID!C:C,MatID!B:B}, 2, 0)</f>
        <v>Fish</v>
      </c>
      <c r="C32" s="27" t="str">
        <f t="array" ref="C32">vlookup(D32, {Mats!B:B,Mats!A:A}, 2, 0)</f>
        <v/>
      </c>
      <c r="D32" s="47" t="s">
        <v>261</v>
      </c>
      <c r="E32" s="26">
        <v>15.0</v>
      </c>
      <c r="F32" s="26">
        <f>SUMIF(Tally!$AC:$AC,$D32,Tally!$V:$V)</f>
        <v>15</v>
      </c>
    </row>
    <row r="33" ht="39.75" customHeight="1">
      <c r="A33" s="48">
        <f t="array" ref="A33">vlookup(D33, {MatID!C:C,MatID!A:A}, 2, 0)</f>
        <v>6</v>
      </c>
      <c r="B33" s="49" t="str">
        <f t="array" ref="B33">vlookup(D33, {MatID!C:C,MatID!B:B}, 2, 0)</f>
        <v>Fish</v>
      </c>
      <c r="C33" s="33" t="str">
        <f t="array" ref="C33">vlookup(D33, {Mats!B:B,Mats!A:A}, 2, 0)</f>
        <v/>
      </c>
      <c r="D33" s="50" t="s">
        <v>262</v>
      </c>
      <c r="E33" s="32">
        <v>30.0</v>
      </c>
      <c r="F33" s="32">
        <f>SUMIF(Tally!$AC:$AC,$D33,Tally!$V:$V)</f>
        <v>30</v>
      </c>
    </row>
    <row r="34" ht="39.75" customHeight="1">
      <c r="A34" s="45">
        <f t="array" ref="A34">vlookup(D34, {MatID!C:C,MatID!A:A}, 2, 0)</f>
        <v>6</v>
      </c>
      <c r="B34" s="46" t="str">
        <f t="array" ref="B34">vlookup(D34, {MatID!C:C,MatID!B:B}, 2, 0)</f>
        <v>Fish</v>
      </c>
      <c r="C34" s="27" t="str">
        <f t="array" ref="C34">vlookup(D34, {Mats!B:B,Mats!A:A}, 2, 0)</f>
        <v/>
      </c>
      <c r="D34" s="47" t="s">
        <v>263</v>
      </c>
      <c r="E34" s="26">
        <v>30.0</v>
      </c>
      <c r="F34" s="26">
        <f>SUMIF(Tally!$AC:$AC,$D34,Tally!$V:$V)</f>
        <v>30</v>
      </c>
    </row>
    <row r="35" ht="39.75" customHeight="1">
      <c r="A35" s="48">
        <f t="array" ref="A35">vlookup(D35, {MatID!C:C,MatID!A:A}, 2, 0)</f>
        <v>6</v>
      </c>
      <c r="B35" s="49" t="str">
        <f t="array" ref="B35">vlookup(D35, {MatID!C:C,MatID!B:B}, 2, 0)</f>
        <v>Fish</v>
      </c>
      <c r="C35" s="33" t="str">
        <f t="array" ref="C35">vlookup(D35, {Mats!B:B,Mats!A:A}, 2, 0)</f>
        <v/>
      </c>
      <c r="D35" s="50" t="s">
        <v>264</v>
      </c>
      <c r="E35" s="32">
        <v>30.0</v>
      </c>
      <c r="F35" s="32">
        <f>SUMIF(Tally!$AC:$AC,$D35,Tally!$V:$V)</f>
        <v>30</v>
      </c>
    </row>
    <row r="36" ht="39.75" customHeight="1">
      <c r="A36" s="45">
        <f t="array" ref="A36">vlookup(D36, {MatID!C:C,MatID!A:A}, 2, 0)</f>
        <v>7</v>
      </c>
      <c r="B36" s="46" t="str">
        <f t="array" ref="B36">vlookup(D36, {MatID!C:C,MatID!B:B}, 2, 0)</f>
        <v>critters</v>
      </c>
      <c r="C36" s="27" t="str">
        <f t="array" ref="C36">vlookup(D36, {Mats!B:B,Mats!A:A}, 2, 0)</f>
        <v/>
      </c>
      <c r="D36" s="47" t="s">
        <v>265</v>
      </c>
      <c r="E36" s="26">
        <v>9.0</v>
      </c>
      <c r="F36" s="26">
        <f>SUMIF(Tally!$AC:$AC,$D36,Tally!$V:$V)</f>
        <v>9</v>
      </c>
    </row>
    <row r="37" ht="39.75" customHeight="1">
      <c r="A37" s="48">
        <f t="array" ref="A37">vlookup(D37, {MatID!C:C,MatID!A:A}, 2, 0)</f>
        <v>7</v>
      </c>
      <c r="B37" s="49" t="str">
        <f t="array" ref="B37">vlookup(D37, {MatID!C:C,MatID!B:B}, 2, 0)</f>
        <v>critters</v>
      </c>
      <c r="C37" s="33" t="str">
        <f t="array" ref="C37">vlookup(D37, {Mats!B:B,Mats!A:A}, 2, 0)</f>
        <v/>
      </c>
      <c r="D37" s="50" t="s">
        <v>266</v>
      </c>
      <c r="E37" s="32">
        <v>15.0</v>
      </c>
      <c r="F37" s="32">
        <f>SUMIF(Tally!$AC:$AC,$D37,Tally!$V:$V)</f>
        <v>15</v>
      </c>
    </row>
    <row r="38" ht="39.75" customHeight="1">
      <c r="A38" s="45">
        <f t="array" ref="A38">vlookup(D38, {MatID!C:C,MatID!A:A}, 2, 0)</f>
        <v>7</v>
      </c>
      <c r="B38" s="46" t="str">
        <f t="array" ref="B38">vlookup(D38, {MatID!C:C,MatID!B:B}, 2, 0)</f>
        <v>critters</v>
      </c>
      <c r="C38" s="27" t="str">
        <f t="array" ref="C38">vlookup(D38, {Mats!B:B,Mats!A:A}, 2, 0)</f>
        <v/>
      </c>
      <c r="D38" s="47" t="s">
        <v>267</v>
      </c>
      <c r="E38" s="26">
        <v>39.0</v>
      </c>
      <c r="F38" s="26">
        <f>SUMIF(Tally!$AC:$AC,$D38,Tally!$V:$V)</f>
        <v>39</v>
      </c>
    </row>
    <row r="39" ht="39.75" customHeight="1">
      <c r="A39" s="48">
        <f t="array" ref="A39">vlookup(D39, {MatID!C:C,MatID!A:A}, 2, 0)</f>
        <v>7</v>
      </c>
      <c r="B39" s="49" t="str">
        <f t="array" ref="B39">vlookup(D39, {MatID!C:C,MatID!B:B}, 2, 0)</f>
        <v>critters</v>
      </c>
      <c r="C39" s="33" t="str">
        <f t="array" ref="C39">vlookup(D39, {Mats!B:B,Mats!A:A}, 2, 0)</f>
        <v/>
      </c>
      <c r="D39" s="50" t="s">
        <v>268</v>
      </c>
      <c r="E39" s="32">
        <v>15.0</v>
      </c>
      <c r="F39" s="32">
        <f>SUMIF(Tally!$AC:$AC,$D39,Tally!$V:$V)</f>
        <v>15</v>
      </c>
    </row>
    <row r="40" ht="39.75" customHeight="1">
      <c r="A40" s="45">
        <f t="array" ref="A40">vlookup(D40, {MatID!C:C,MatID!A:A}, 2, 0)</f>
        <v>7</v>
      </c>
      <c r="B40" s="46" t="str">
        <f t="array" ref="B40">vlookup(D40, {MatID!C:C,MatID!B:B}, 2, 0)</f>
        <v>critters</v>
      </c>
      <c r="C40" s="27" t="str">
        <f t="array" ref="C40">vlookup(D40, {Mats!B:B,Mats!A:A}, 2, 0)</f>
        <v/>
      </c>
      <c r="D40" s="47" t="s">
        <v>269</v>
      </c>
      <c r="E40" s="26">
        <v>9.0</v>
      </c>
      <c r="F40" s="26">
        <f>SUMIF(Tally!$AC:$AC,$D40,Tally!$V:$V)</f>
        <v>9</v>
      </c>
    </row>
    <row r="41" ht="39.75" customHeight="1">
      <c r="A41" s="48">
        <f t="array" ref="A41">vlookup(D41, {MatID!C:C,MatID!A:A}, 2, 0)</f>
        <v>7</v>
      </c>
      <c r="B41" s="49" t="str">
        <f t="array" ref="B41">vlookup(D41, {MatID!C:C,MatID!B:B}, 2, 0)</f>
        <v>critters</v>
      </c>
      <c r="C41" s="33" t="str">
        <f t="array" ref="C41">vlookup(D41, {Mats!B:B,Mats!A:A}, 2, 0)</f>
        <v/>
      </c>
      <c r="D41" s="50" t="s">
        <v>270</v>
      </c>
      <c r="E41" s="32">
        <v>15.0</v>
      </c>
      <c r="F41" s="32">
        <f>SUMIF(Tally!$AC:$AC,$D41,Tally!$V:$V)</f>
        <v>15</v>
      </c>
    </row>
    <row r="42" ht="39.75" customHeight="1">
      <c r="A42" s="45">
        <f t="array" ref="A42">vlookup(D42, {MatID!C:C,MatID!A:A}, 2, 0)</f>
        <v>7</v>
      </c>
      <c r="B42" s="46" t="str">
        <f t="array" ref="B42">vlookup(D42, {MatID!C:C,MatID!B:B}, 2, 0)</f>
        <v>critters</v>
      </c>
      <c r="C42" s="27" t="str">
        <f t="array" ref="C42">vlookup(D42, {Mats!B:B,Mats!A:A}, 2, 0)</f>
        <v/>
      </c>
      <c r="D42" s="47" t="s">
        <v>271</v>
      </c>
      <c r="E42" s="26">
        <v>5.0</v>
      </c>
      <c r="F42" s="26">
        <f>SUMIF(Tally!$AC:$AC,$D42,Tally!$V:$V)</f>
        <v>5</v>
      </c>
    </row>
    <row r="43" ht="39.75" customHeight="1">
      <c r="A43" s="48">
        <f t="array" ref="A43">vlookup(D43, {MatID!C:C,MatID!A:A}, 2, 0)</f>
        <v>7</v>
      </c>
      <c r="B43" s="49" t="str">
        <f t="array" ref="B43">vlookup(D43, {MatID!C:C,MatID!B:B}, 2, 0)</f>
        <v>critters</v>
      </c>
      <c r="C43" s="33" t="str">
        <f t="array" ref="C43">vlookup(D43, {Mats!B:B,Mats!A:A}, 2, 0)</f>
        <v/>
      </c>
      <c r="D43" s="50" t="s">
        <v>272</v>
      </c>
      <c r="E43" s="32">
        <v>21.0</v>
      </c>
      <c r="F43" s="32">
        <f>SUMIF(Tally!$AC:$AC,$D43,Tally!$V:$V)</f>
        <v>21</v>
      </c>
    </row>
    <row r="44" ht="39.75" customHeight="1">
      <c r="A44" s="45">
        <f t="array" ref="A44">vlookup(D44, {MatID!C:C,MatID!A:A}, 2, 0)</f>
        <v>7</v>
      </c>
      <c r="B44" s="46" t="str">
        <f t="array" ref="B44">vlookup(D44, {MatID!C:C,MatID!B:B}, 2, 0)</f>
        <v>critters</v>
      </c>
      <c r="C44" s="27" t="str">
        <f t="array" ref="C44">vlookup(D44, {Mats!B:B,Mats!A:A}, 2, 0)</f>
        <v/>
      </c>
      <c r="D44" s="47" t="s">
        <v>273</v>
      </c>
      <c r="E44" s="26">
        <v>30.0</v>
      </c>
      <c r="F44" s="26">
        <f>SUMIF(Tally!$AC:$AC,$D44,Tally!$V:$V)</f>
        <v>30</v>
      </c>
    </row>
    <row r="45" ht="39.75" customHeight="1">
      <c r="A45" s="48">
        <f t="array" ref="A45">vlookup(D45, {MatID!C:C,MatID!A:A}, 2, 0)</f>
        <v>7</v>
      </c>
      <c r="B45" s="49" t="str">
        <f t="array" ref="B45">vlookup(D45, {MatID!C:C,MatID!B:B}, 2, 0)</f>
        <v>critters</v>
      </c>
      <c r="C45" s="33" t="str">
        <f t="array" ref="C45">vlookup(D45, {Mats!B:B,Mats!A:A}, 2, 0)</f>
        <v/>
      </c>
      <c r="D45" s="50" t="s">
        <v>274</v>
      </c>
      <c r="E45" s="32">
        <v>9.0</v>
      </c>
      <c r="F45" s="32">
        <f>SUMIF(Tally!$AC:$AC,$D45,Tally!$V:$V)</f>
        <v>9</v>
      </c>
    </row>
    <row r="46" ht="39.75" customHeight="1">
      <c r="A46" s="45">
        <f t="array" ref="A46">vlookup(D46, {MatID!C:C,MatID!A:A}, 2, 0)</f>
        <v>7</v>
      </c>
      <c r="B46" s="46" t="str">
        <f t="array" ref="B46">vlookup(D46, {MatID!C:C,MatID!B:B}, 2, 0)</f>
        <v>critters</v>
      </c>
      <c r="C46" s="27" t="str">
        <f t="array" ref="C46">vlookup(D46, {Mats!B:B,Mats!A:A}, 2, 0)</f>
        <v/>
      </c>
      <c r="D46" s="47" t="s">
        <v>275</v>
      </c>
      <c r="E46" s="26">
        <v>24.0</v>
      </c>
      <c r="F46" s="26">
        <f>SUMIF(Tally!$AC:$AC,$D46,Tally!$V:$V)</f>
        <v>24</v>
      </c>
    </row>
    <row r="47" ht="39.75" customHeight="1">
      <c r="A47" s="48">
        <f t="array" ref="A47">vlookup(D47, {MatID!C:C,MatID!A:A}, 2, 0)</f>
        <v>7</v>
      </c>
      <c r="B47" s="49" t="str">
        <f t="array" ref="B47">vlookup(D47, {MatID!C:C,MatID!B:B}, 2, 0)</f>
        <v>critters</v>
      </c>
      <c r="C47" s="33" t="str">
        <f t="array" ref="C47">vlookup(D47, {Mats!B:B,Mats!A:A}, 2, 0)</f>
        <v/>
      </c>
      <c r="D47" s="50" t="s">
        <v>276</v>
      </c>
      <c r="E47" s="32">
        <v>15.0</v>
      </c>
      <c r="F47" s="32">
        <f>SUMIF(Tally!$AC:$AC,$D47,Tally!$V:$V)</f>
        <v>15</v>
      </c>
    </row>
    <row r="48" ht="39.75" customHeight="1">
      <c r="A48" s="45">
        <f t="array" ref="A48">vlookup(D48, {MatID!C:C,MatID!A:A}, 2, 0)</f>
        <v>7</v>
      </c>
      <c r="B48" s="46" t="str">
        <f t="array" ref="B48">vlookup(D48, {MatID!C:C,MatID!B:B}, 2, 0)</f>
        <v>critters</v>
      </c>
      <c r="C48" s="27" t="str">
        <f t="array" ref="C48">vlookup(D48, {Mats!B:B,Mats!A:A}, 2, 0)</f>
        <v/>
      </c>
      <c r="D48" s="47" t="s">
        <v>277</v>
      </c>
      <c r="E48" s="26">
        <v>30.0</v>
      </c>
      <c r="F48" s="26">
        <f>SUMIF(Tally!$AC:$AC,$D48,Tally!$V:$V)</f>
        <v>30</v>
      </c>
    </row>
    <row r="49" ht="39.75" customHeight="1">
      <c r="A49" s="48">
        <f t="array" ref="A49">vlookup(D49, {MatID!C:C,MatID!A:A}, 2, 0)</f>
        <v>7</v>
      </c>
      <c r="B49" s="49" t="str">
        <f t="array" ref="B49">vlookup(D49, {MatID!C:C,MatID!B:B}, 2, 0)</f>
        <v>critters</v>
      </c>
      <c r="C49" s="33" t="str">
        <f t="array" ref="C49">vlookup(D49, {Mats!B:B,Mats!A:A}, 2, 0)</f>
        <v/>
      </c>
      <c r="D49" s="50" t="s">
        <v>278</v>
      </c>
      <c r="E49" s="32">
        <v>24.0</v>
      </c>
      <c r="F49" s="32">
        <f>SUMIF(Tally!$AC:$AC,$D49,Tally!$V:$V)</f>
        <v>24</v>
      </c>
    </row>
    <row r="50" ht="39.75" customHeight="1">
      <c r="A50" s="45">
        <f t="array" ref="A50">vlookup(D50, {MatID!C:C,MatID!A:A}, 2, 0)</f>
        <v>7</v>
      </c>
      <c r="B50" s="46" t="str">
        <f t="array" ref="B50">vlookup(D50, {MatID!C:C,MatID!B:B}, 2, 0)</f>
        <v>critters</v>
      </c>
      <c r="C50" s="27" t="str">
        <f t="array" ref="C50">vlookup(D50, {Mats!B:B,Mats!A:A}, 2, 0)</f>
        <v/>
      </c>
      <c r="D50" s="47" t="s">
        <v>279</v>
      </c>
      <c r="E50" s="26">
        <v>15.0</v>
      </c>
      <c r="F50" s="26">
        <f>SUMIF(Tally!$AC:$AC,$D50,Tally!$V:$V)</f>
        <v>15</v>
      </c>
    </row>
    <row r="51" ht="39.75" customHeight="1">
      <c r="A51" s="48">
        <f t="array" ref="A51">vlookup(D51, {MatID!C:C,MatID!A:A}, 2, 0)</f>
        <v>7</v>
      </c>
      <c r="B51" s="49" t="str">
        <f t="array" ref="B51">vlookup(D51, {MatID!C:C,MatID!B:B}, 2, 0)</f>
        <v>critters</v>
      </c>
      <c r="C51" s="33" t="str">
        <f t="array" ref="C51">vlookup(D51, {Mats!B:B,Mats!A:A}, 2, 0)</f>
        <v/>
      </c>
      <c r="D51" s="50" t="s">
        <v>280</v>
      </c>
      <c r="E51" s="32">
        <v>15.0</v>
      </c>
      <c r="F51" s="32">
        <f>SUMIF(Tally!$AC:$AC,$D51,Tally!$V:$V)</f>
        <v>15</v>
      </c>
    </row>
    <row r="52" ht="39.75" customHeight="1">
      <c r="A52" s="45">
        <f t="array" ref="A52">vlookup(D52, {MatID!C:C,MatID!A:A}, 2, 0)</f>
        <v>7</v>
      </c>
      <c r="B52" s="46" t="str">
        <f t="array" ref="B52">vlookup(D52, {MatID!C:C,MatID!B:B}, 2, 0)</f>
        <v>critters</v>
      </c>
      <c r="C52" s="27" t="str">
        <f t="array" ref="C52">vlookup(D52, {Mats!B:B,Mats!A:A}, 2, 0)</f>
        <v/>
      </c>
      <c r="D52" s="47" t="s">
        <v>281</v>
      </c>
      <c r="E52" s="26">
        <v>9.0</v>
      </c>
      <c r="F52" s="26">
        <f>SUMIF(Tally!$AC:$AC,$D52,Tally!$V:$V)</f>
        <v>9</v>
      </c>
    </row>
    <row r="53" ht="39.75" customHeight="1">
      <c r="A53" s="48">
        <f t="array" ref="A53">vlookup(D53, {MatID!C:C,MatID!A:A}, 2, 0)</f>
        <v>7</v>
      </c>
      <c r="B53" s="49" t="str">
        <f t="array" ref="B53">vlookup(D53, {MatID!C:C,MatID!B:B}, 2, 0)</f>
        <v>critters</v>
      </c>
      <c r="C53" s="33" t="str">
        <f t="array" ref="C53">vlookup(D53, {Mats!B:B,Mats!A:A}, 2, 0)</f>
        <v/>
      </c>
      <c r="D53" s="50" t="s">
        <v>282</v>
      </c>
      <c r="E53" s="32">
        <v>15.0</v>
      </c>
      <c r="F53" s="32">
        <f>SUMIF(Tally!$AC:$AC,$D53,Tally!$V:$V)</f>
        <v>15</v>
      </c>
    </row>
    <row r="54" ht="39.75" customHeight="1">
      <c r="A54" s="45">
        <f t="array" ref="A54">vlookup(D54, {MatID!C:C,MatID!A:A}, 2, 0)</f>
        <v>7</v>
      </c>
      <c r="B54" s="46" t="str">
        <f t="array" ref="B54">vlookup(D54, {MatID!C:C,MatID!B:B}, 2, 0)</f>
        <v>critters</v>
      </c>
      <c r="C54" s="27" t="str">
        <f t="array" ref="C54">vlookup(D54, {Mats!B:B,Mats!A:A}, 2, 0)</f>
        <v/>
      </c>
      <c r="D54" s="47" t="s">
        <v>283</v>
      </c>
      <c r="E54" s="26">
        <v>15.0</v>
      </c>
      <c r="F54" s="26">
        <f>SUMIF(Tally!$AC:$AC,$D54,Tally!$V:$V)</f>
        <v>15</v>
      </c>
    </row>
    <row r="55" ht="39.75" customHeight="1">
      <c r="A55" s="48">
        <f t="array" ref="A55">vlookup(D55, {MatID!C:C,MatID!A:A}, 2, 0)</f>
        <v>8</v>
      </c>
      <c r="B55" s="49" t="str">
        <f t="array" ref="B55">vlookup(D55, {MatID!C:C,MatID!B:B}, 2, 0)</f>
        <v>ore</v>
      </c>
      <c r="C55" s="33" t="str">
        <f t="array" ref="C55">vlookup(D55, {Mats!B:B,Mats!A:A}, 2, 0)</f>
        <v/>
      </c>
      <c r="D55" s="50" t="s">
        <v>284</v>
      </c>
      <c r="E55" s="32">
        <v>715.0</v>
      </c>
      <c r="F55" s="32">
        <f>SUMIF(Tally!$AC:$AC,$D55,Tally!$V:$V)</f>
        <v>715</v>
      </c>
    </row>
    <row r="56" ht="39.75" customHeight="1">
      <c r="A56" s="45">
        <f t="array" ref="A56">vlookup(D56, {MatID!C:C,MatID!A:A}, 2, 0)</f>
        <v>8</v>
      </c>
      <c r="B56" s="46" t="str">
        <f t="array" ref="B56">vlookup(D56, {MatID!C:C,MatID!B:B}, 2, 0)</f>
        <v>ore</v>
      </c>
      <c r="C56" s="27" t="str">
        <f t="array" ref="C56">vlookup(D56, {Mats!B:B,Mats!A:A}, 2, 0)</f>
        <v/>
      </c>
      <c r="D56" s="47" t="s">
        <v>285</v>
      </c>
      <c r="E56" s="26">
        <v>27.0</v>
      </c>
      <c r="F56" s="26">
        <f>SUMIF(Tally!$AC:$AC,$D56,Tally!$V:$V)</f>
        <v>27</v>
      </c>
    </row>
    <row r="57" ht="39.75" customHeight="1">
      <c r="A57" s="48">
        <f t="array" ref="A57">vlookup(D57, {MatID!C:C,MatID!A:A}, 2, 0)</f>
        <v>8</v>
      </c>
      <c r="B57" s="49" t="str">
        <f t="array" ref="B57">vlookup(D57, {MatID!C:C,MatID!B:B}, 2, 0)</f>
        <v>ore</v>
      </c>
      <c r="C57" s="33" t="str">
        <f t="array" ref="C57">vlookup(D57, {Mats!B:B,Mats!A:A}, 2, 0)</f>
        <v/>
      </c>
      <c r="D57" s="50" t="s">
        <v>286</v>
      </c>
      <c r="E57" s="32">
        <v>367.0</v>
      </c>
      <c r="F57" s="32">
        <f>SUMIF(Tally!$AC:$AC,$D57,Tally!$V:$V)</f>
        <v>367</v>
      </c>
    </row>
    <row r="58" ht="39.75" customHeight="1">
      <c r="A58" s="45">
        <f t="array" ref="A58">vlookup(D58, {MatID!C:C,MatID!A:A}, 2, 0)</f>
        <v>8</v>
      </c>
      <c r="B58" s="46" t="str">
        <f t="array" ref="B58">vlookup(D58, {MatID!C:C,MatID!B:B}, 2, 0)</f>
        <v>ore</v>
      </c>
      <c r="C58" s="27" t="str">
        <f t="array" ref="C58">vlookup(D58, {Mats!B:B,Mats!A:A}, 2, 0)</f>
        <v/>
      </c>
      <c r="D58" s="47" t="s">
        <v>287</v>
      </c>
      <c r="E58" s="26">
        <v>450.0</v>
      </c>
      <c r="F58" s="26">
        <f>SUMIF(Tally!$AC:$AC,$D58,Tally!$V:$V)</f>
        <v>450</v>
      </c>
    </row>
    <row r="59" ht="39.75" customHeight="1">
      <c r="A59" s="48">
        <f t="array" ref="A59">vlookup(D59, {MatID!C:C,MatID!A:A}, 2, 0)</f>
        <v>8</v>
      </c>
      <c r="B59" s="49" t="str">
        <f t="array" ref="B59">vlookup(D59, {MatID!C:C,MatID!B:B}, 2, 0)</f>
        <v>ore</v>
      </c>
      <c r="C59" s="33" t="str">
        <f t="array" ref="C59">vlookup(D59, {Mats!B:B,Mats!A:A}, 2, 0)</f>
        <v/>
      </c>
      <c r="D59" s="50" t="s">
        <v>288</v>
      </c>
      <c r="E59" s="32">
        <v>376.0</v>
      </c>
      <c r="F59" s="32">
        <f>SUMIF(Tally!$AC:$AC,$D59,Tally!$V:$V)</f>
        <v>376</v>
      </c>
    </row>
    <row r="60" ht="39.75" customHeight="1">
      <c r="A60" s="45">
        <f t="array" ref="A60">vlookup(D60, {MatID!C:C,MatID!A:A}, 2, 0)</f>
        <v>8</v>
      </c>
      <c r="B60" s="46" t="str">
        <f t="array" ref="B60">vlookup(D60, {MatID!C:C,MatID!B:B}, 2, 0)</f>
        <v>ore</v>
      </c>
      <c r="C60" s="27" t="str">
        <f t="array" ref="C60">vlookup(D60, {Mats!B:B,Mats!A:A}, 2, 0)</f>
        <v/>
      </c>
      <c r="D60" s="47" t="s">
        <v>289</v>
      </c>
      <c r="E60" s="26">
        <v>121.0</v>
      </c>
      <c r="F60" s="26">
        <f>SUMIF(Tally!$AC:$AC,$D60,Tally!$V:$V)</f>
        <v>121</v>
      </c>
    </row>
    <row r="61" ht="39.75" customHeight="1">
      <c r="A61" s="48">
        <f t="array" ref="A61">vlookup(D61, {MatID!C:C,MatID!A:A}, 2, 0)</f>
        <v>8</v>
      </c>
      <c r="B61" s="49" t="str">
        <f t="array" ref="B61">vlookup(D61, {MatID!C:C,MatID!B:B}, 2, 0)</f>
        <v>ore</v>
      </c>
      <c r="C61" s="33" t="str">
        <f t="array" ref="C61">vlookup(D61, {Mats!B:B,Mats!A:A}, 2, 0)</f>
        <v/>
      </c>
      <c r="D61" s="50" t="s">
        <v>290</v>
      </c>
      <c r="E61" s="32">
        <v>121.0</v>
      </c>
      <c r="F61" s="32">
        <f>SUMIF(Tally!$AC:$AC,$D61,Tally!$V:$V)</f>
        <v>121</v>
      </c>
    </row>
    <row r="62" ht="39.75" customHeight="1">
      <c r="A62" s="45">
        <f t="array" ref="A62">vlookup(D62, {MatID!C:C,MatID!A:A}, 2, 0)</f>
        <v>8</v>
      </c>
      <c r="B62" s="46" t="str">
        <f t="array" ref="B62">vlookup(D62, {MatID!C:C,MatID!B:B}, 2, 0)</f>
        <v>ore</v>
      </c>
      <c r="C62" s="27" t="str">
        <f t="array" ref="C62">vlookup(D62, {Mats!B:B,Mats!A:A}, 2, 0)</f>
        <v/>
      </c>
      <c r="D62" s="47" t="s">
        <v>291</v>
      </c>
      <c r="E62" s="26">
        <v>121.0</v>
      </c>
      <c r="F62" s="26">
        <f>SUMIF(Tally!$AC:$AC,$D62,Tally!$V:$V)</f>
        <v>121</v>
      </c>
    </row>
    <row r="63" ht="39.75" customHeight="1">
      <c r="A63" s="48">
        <f t="array" ref="A63">vlookup(D63, {MatID!C:C,MatID!A:A}, 2, 0)</f>
        <v>9.01</v>
      </c>
      <c r="B63" s="49" t="str">
        <f t="array" ref="B63">vlookup(D63, {MatID!C:C,MatID!B:B}, 2, 0)</f>
        <v>Mob-Guts</v>
      </c>
      <c r="C63" s="33" t="str">
        <f t="array" ref="C63">vlookup(D63, {Mats!B:B,Mats!A:A}, 2, 0)</f>
        <v/>
      </c>
      <c r="D63" s="50" t="s">
        <v>292</v>
      </c>
      <c r="E63" s="32">
        <v>53.0</v>
      </c>
      <c r="F63" s="32">
        <f>SUMIF(Tally!$AC:$AC,$D63,Tally!$V:$V)</f>
        <v>53</v>
      </c>
    </row>
    <row r="64" ht="39.75" customHeight="1">
      <c r="A64" s="45">
        <f t="array" ref="A64">vlookup(D64, {MatID!C:C,MatID!A:A}, 2, 0)</f>
        <v>9.01</v>
      </c>
      <c r="B64" s="46" t="str">
        <f t="array" ref="B64">vlookup(D64, {MatID!C:C,MatID!B:B}, 2, 0)</f>
        <v>Mob-Guts</v>
      </c>
      <c r="C64" s="27" t="str">
        <f t="array" ref="C64">vlookup(D64, {Mats!B:B,Mats!A:A}, 2, 0)</f>
        <v/>
      </c>
      <c r="D64" s="47" t="s">
        <v>293</v>
      </c>
      <c r="E64" s="26">
        <v>9.0</v>
      </c>
      <c r="F64" s="26">
        <f>SUMIF(Tally!$AC:$AC,$D64,Tally!$V:$V)</f>
        <v>9</v>
      </c>
    </row>
    <row r="65" ht="39.75" customHeight="1">
      <c r="A65" s="48">
        <f t="array" ref="A65">vlookup(D65, {MatID!C:C,MatID!A:A}, 2, 0)</f>
        <v>9.01</v>
      </c>
      <c r="B65" s="49" t="str">
        <f t="array" ref="B65">vlookup(D65, {MatID!C:C,MatID!B:B}, 2, 0)</f>
        <v>Mob-Guts</v>
      </c>
      <c r="C65" s="33" t="str">
        <f t="array" ref="C65">vlookup(D65, {Mats!B:B,Mats!A:A}, 2, 0)</f>
        <v/>
      </c>
      <c r="D65" s="50" t="s">
        <v>294</v>
      </c>
      <c r="E65" s="32">
        <v>18.0</v>
      </c>
      <c r="F65" s="32">
        <f>SUMIF(Tally!$AC:$AC,$D65,Tally!$V:$V)</f>
        <v>18</v>
      </c>
    </row>
    <row r="66" ht="39.75" customHeight="1">
      <c r="A66" s="45">
        <f t="array" ref="A66">vlookup(D66, {MatID!C:C,MatID!A:A}, 2, 0)</f>
        <v>9.01</v>
      </c>
      <c r="B66" s="46" t="str">
        <f t="array" ref="B66">vlookup(D66, {MatID!C:C,MatID!B:B}, 2, 0)</f>
        <v>Mob-Guts</v>
      </c>
      <c r="C66" s="27" t="str">
        <f t="array" ref="C66">vlookup(D66, {Mats!B:B,Mats!A:A}, 2, 0)</f>
        <v/>
      </c>
      <c r="D66" s="47" t="s">
        <v>295</v>
      </c>
      <c r="E66" s="26">
        <v>5.0</v>
      </c>
      <c r="F66" s="26">
        <f>SUMIF(Tally!$AC:$AC,$D66,Tally!$V:$V)</f>
        <v>5</v>
      </c>
    </row>
    <row r="67" ht="39.75" customHeight="1">
      <c r="A67" s="48">
        <f t="array" ref="A67">vlookup(D67, {MatID!C:C,MatID!A:A}, 2, 0)</f>
        <v>9.01</v>
      </c>
      <c r="B67" s="49" t="str">
        <f t="array" ref="B67">vlookup(D67, {MatID!C:C,MatID!B:B}, 2, 0)</f>
        <v>Mob-Guts</v>
      </c>
      <c r="C67" s="33" t="str">
        <f t="array" ref="C67">vlookup(D67, {Mats!B:B,Mats!A:A}, 2, 0)</f>
        <v/>
      </c>
      <c r="D67" s="50" t="s">
        <v>296</v>
      </c>
      <c r="E67" s="32">
        <v>18.0</v>
      </c>
      <c r="F67" s="32">
        <f>SUMIF(Tally!$AC:$AC,$D67,Tally!$V:$V)</f>
        <v>18</v>
      </c>
    </row>
    <row r="68" ht="39.75" customHeight="1">
      <c r="A68" s="45">
        <f t="array" ref="A68">vlookup(D68, {MatID!C:C,MatID!A:A}, 2, 0)</f>
        <v>9.01</v>
      </c>
      <c r="B68" s="46" t="str">
        <f t="array" ref="B68">vlookup(D68, {MatID!C:C,MatID!B:B}, 2, 0)</f>
        <v>Mob-Guts</v>
      </c>
      <c r="C68" s="27" t="str">
        <f t="array" ref="C68">vlookup(D68, {Mats!B:B,Mats!A:A}, 2, 0)</f>
        <v/>
      </c>
      <c r="D68" s="47" t="s">
        <v>297</v>
      </c>
      <c r="E68" s="26">
        <v>33.0</v>
      </c>
      <c r="F68" s="26">
        <f>SUMIF(Tally!$AC:$AC,$D68,Tally!$V:$V)</f>
        <v>33</v>
      </c>
    </row>
    <row r="69" ht="39.75" customHeight="1">
      <c r="A69" s="48">
        <f t="array" ref="A69">vlookup(D69, {MatID!C:C,MatID!A:A}, 2, 0)</f>
        <v>9.01</v>
      </c>
      <c r="B69" s="49" t="str">
        <f t="array" ref="B69">vlookup(D69, {MatID!C:C,MatID!B:B}, 2, 0)</f>
        <v>Mob-Guts</v>
      </c>
      <c r="C69" s="33" t="str">
        <f t="array" ref="C69">vlookup(D69, {Mats!B:B,Mats!A:A}, 2, 0)</f>
        <v/>
      </c>
      <c r="D69" s="50" t="s">
        <v>298</v>
      </c>
      <c r="E69" s="32">
        <v>39.0</v>
      </c>
      <c r="F69" s="32">
        <f>SUMIF(Tally!$AC:$AC,$D69,Tally!$V:$V)</f>
        <v>39</v>
      </c>
    </row>
    <row r="70" ht="39.75" customHeight="1">
      <c r="A70" s="45">
        <f t="array" ref="A70">vlookup(D70, {MatID!C:C,MatID!A:A}, 2, 0)</f>
        <v>9.01</v>
      </c>
      <c r="B70" s="46" t="str">
        <f t="array" ref="B70">vlookup(D70, {MatID!C:C,MatID!B:B}, 2, 0)</f>
        <v>Mob-Guts</v>
      </c>
      <c r="C70" s="27" t="str">
        <f t="array" ref="C70">vlookup(D70, {Mats!B:B,Mats!A:A}, 2, 0)</f>
        <v/>
      </c>
      <c r="D70" s="47" t="s">
        <v>299</v>
      </c>
      <c r="E70" s="26">
        <v>30.0</v>
      </c>
      <c r="F70" s="26">
        <f>SUMIF(Tally!$AC:$AC,$D70,Tally!$V:$V)</f>
        <v>30</v>
      </c>
    </row>
    <row r="71" ht="39.75" customHeight="1">
      <c r="A71" s="48">
        <f t="array" ref="A71">vlookup(D71, {MatID!C:C,MatID!A:A}, 2, 0)</f>
        <v>9.01</v>
      </c>
      <c r="B71" s="49" t="str">
        <f t="array" ref="B71">vlookup(D71, {MatID!C:C,MatID!B:B}, 2, 0)</f>
        <v>Mob-Guts</v>
      </c>
      <c r="C71" s="33" t="str">
        <f t="array" ref="C71">vlookup(D71, {Mats!B:B,Mats!A:A}, 2, 0)</f>
        <v/>
      </c>
      <c r="D71" s="50" t="s">
        <v>300</v>
      </c>
      <c r="E71" s="32">
        <v>15.0</v>
      </c>
      <c r="F71" s="32">
        <f>SUMIF(Tally!$AC:$AC,$D71,Tally!$V:$V)</f>
        <v>15</v>
      </c>
    </row>
    <row r="72" ht="39.75" customHeight="1">
      <c r="A72" s="45">
        <f t="array" ref="A72">vlookup(D72, {MatID!C:C,MatID!A:A}, 2, 0)</f>
        <v>9.01</v>
      </c>
      <c r="B72" s="46" t="str">
        <f t="array" ref="B72">vlookup(D72, {MatID!C:C,MatID!B:B}, 2, 0)</f>
        <v>Mob-Guts</v>
      </c>
      <c r="C72" s="27" t="str">
        <f t="array" ref="C72">vlookup(D72, {Mats!B:B,Mats!A:A}, 2, 0)</f>
        <v/>
      </c>
      <c r="D72" s="47" t="s">
        <v>301</v>
      </c>
      <c r="E72" s="26">
        <v>23.0</v>
      </c>
      <c r="F72" s="26">
        <f>SUMIF(Tally!$AC:$AC,$D72,Tally!$V:$V)</f>
        <v>23</v>
      </c>
    </row>
    <row r="73" ht="39.75" customHeight="1">
      <c r="A73" s="48">
        <f t="array" ref="A73">vlookup(D73, {MatID!C:C,MatID!A:A}, 2, 0)</f>
        <v>9.02</v>
      </c>
      <c r="B73" s="49" t="str">
        <f t="array" ref="B73">vlookup(D73, {MatID!C:C,MatID!B:B}, 2, 0)</f>
        <v>Mob-Jelly</v>
      </c>
      <c r="C73" s="33" t="str">
        <f t="array" ref="C73">vlookup(D73, {Mats!B:B,Mats!A:A}, 2, 0)</f>
        <v/>
      </c>
      <c r="D73" s="50" t="s">
        <v>302</v>
      </c>
      <c r="E73" s="32">
        <v>15.0</v>
      </c>
      <c r="F73" s="32">
        <f>SUMIF(Tally!$AC:$AC,$D73,Tally!$V:$V)</f>
        <v>15</v>
      </c>
    </row>
    <row r="74" ht="39.75" customHeight="1">
      <c r="A74" s="45">
        <f t="array" ref="A74">vlookup(D74, {MatID!C:C,MatID!A:A}, 2, 0)</f>
        <v>9.02</v>
      </c>
      <c r="B74" s="46" t="str">
        <f t="array" ref="B74">vlookup(D74, {MatID!C:C,MatID!B:B}, 2, 0)</f>
        <v>Mob-Jelly</v>
      </c>
      <c r="C74" s="27" t="str">
        <f t="array" ref="C74">vlookup(D74, {Mats!B:B,Mats!A:A}, 2, 0)</f>
        <v/>
      </c>
      <c r="D74" s="47" t="s">
        <v>303</v>
      </c>
      <c r="E74" s="26">
        <v>24.0</v>
      </c>
      <c r="F74" s="26">
        <f>SUMIF(Tally!$AC:$AC,$D74,Tally!$V:$V)</f>
        <v>24</v>
      </c>
    </row>
    <row r="75" ht="39.75" customHeight="1">
      <c r="A75" s="48">
        <f t="array" ref="A75">vlookup(D75, {MatID!C:C,MatID!A:A}, 2, 0)</f>
        <v>9.02</v>
      </c>
      <c r="B75" s="49" t="str">
        <f t="array" ref="B75">vlookup(D75, {MatID!C:C,MatID!B:B}, 2, 0)</f>
        <v>Mob-Jelly</v>
      </c>
      <c r="C75" s="33" t="str">
        <f t="array" ref="C75">vlookup(D75, {Mats!B:B,Mats!A:A}, 2, 0)</f>
        <v/>
      </c>
      <c r="D75" s="50" t="s">
        <v>304</v>
      </c>
      <c r="E75" s="32">
        <v>24.0</v>
      </c>
      <c r="F75" s="32">
        <f>SUMIF(Tally!$AC:$AC,$D75,Tally!$V:$V)</f>
        <v>24</v>
      </c>
    </row>
    <row r="76" ht="39.75" customHeight="1">
      <c r="A76" s="45">
        <f t="array" ref="A76">vlookup(D76, {MatID!C:C,MatID!A:A}, 2, 0)</f>
        <v>9.02</v>
      </c>
      <c r="B76" s="46" t="str">
        <f t="array" ref="B76">vlookup(D76, {MatID!C:C,MatID!B:B}, 2, 0)</f>
        <v>Mob-Jelly</v>
      </c>
      <c r="C76" s="27" t="str">
        <f t="array" ref="C76">vlookup(D76, {Mats!B:B,Mats!A:A}, 2, 0)</f>
        <v/>
      </c>
      <c r="D76" s="47" t="s">
        <v>305</v>
      </c>
      <c r="E76" s="26">
        <v>33.0</v>
      </c>
      <c r="F76" s="26">
        <f>SUMIF(Tally!$AC:$AC,$D76,Tally!$V:$V)</f>
        <v>33</v>
      </c>
    </row>
    <row r="77" ht="39.75" customHeight="1">
      <c r="A77" s="48">
        <f t="array" ref="A77">vlookup(D77, {MatID!C:C,MatID!A:A}, 2, 0)</f>
        <v>9.03</v>
      </c>
      <c r="B77" s="49" t="str">
        <f t="array" ref="B77">vlookup(D77, {MatID!C:C,MatID!B:B}, 2, 0)</f>
        <v>Mob-Balloon</v>
      </c>
      <c r="C77" s="33" t="str">
        <f t="array" ref="C77">vlookup(D77, {Mats!B:B,Mats!A:A}, 2, 0)</f>
        <v/>
      </c>
      <c r="D77" s="50" t="s">
        <v>306</v>
      </c>
      <c r="E77" s="32">
        <v>5.0</v>
      </c>
      <c r="F77" s="32">
        <f>SUMIF(Tally!$AC:$AC,$D77,Tally!$V:$V)</f>
        <v>5</v>
      </c>
    </row>
    <row r="78" ht="39.75" customHeight="1">
      <c r="A78" s="45">
        <f t="array" ref="A78">vlookup(D78, {MatID!C:C,MatID!A:A}, 2, 0)</f>
        <v>9.04</v>
      </c>
      <c r="B78" s="46" t="str">
        <f t="array" ref="B78">vlookup(D78, {MatID!C:C,MatID!B:B}, 2, 0)</f>
        <v>Mob-Eyeball</v>
      </c>
      <c r="C78" s="27" t="str">
        <f t="array" ref="C78">vlookup(D78, {Mats!B:B,Mats!A:A}, 2, 0)</f>
        <v/>
      </c>
      <c r="D78" s="47" t="s">
        <v>307</v>
      </c>
      <c r="E78" s="26">
        <v>42.0</v>
      </c>
      <c r="F78" s="26">
        <f>SUMIF(Tally!$AC:$AC,$D78,Tally!$V:$V)</f>
        <v>42</v>
      </c>
    </row>
    <row r="79" ht="39.75" customHeight="1">
      <c r="A79" s="48">
        <f t="array" ref="A79">vlookup(D79, {MatID!C:C,MatID!A:A}, 2, 0)</f>
        <v>9.04</v>
      </c>
      <c r="B79" s="49" t="str">
        <f t="array" ref="B79">vlookup(D79, {MatID!C:C,MatID!B:B}, 2, 0)</f>
        <v>Mob-Eyeball</v>
      </c>
      <c r="C79" s="33" t="str">
        <f t="array" ref="C79">vlookup(D79, {Mats!B:B,Mats!A:A}, 2, 0)</f>
        <v/>
      </c>
      <c r="D79" s="50" t="s">
        <v>308</v>
      </c>
      <c r="E79" s="32">
        <v>30.0</v>
      </c>
      <c r="F79" s="32">
        <f>SUMIF(Tally!$AC:$AC,$D79,Tally!$V:$V)</f>
        <v>30</v>
      </c>
    </row>
    <row r="80" ht="39.75" customHeight="1">
      <c r="A80" s="45">
        <f t="array" ref="A80">vlookup(D80, {MatID!C:C,MatID!A:A}, 2, 0)</f>
        <v>9.04</v>
      </c>
      <c r="B80" s="46" t="str">
        <f t="array" ref="B80">vlookup(D80, {MatID!C:C,MatID!B:B}, 2, 0)</f>
        <v>Mob-Eyeball</v>
      </c>
      <c r="C80" s="27" t="str">
        <f t="array" ref="C80">vlookup(D80, {Mats!B:B,Mats!A:A}, 2, 0)</f>
        <v/>
      </c>
      <c r="D80" s="47" t="s">
        <v>309</v>
      </c>
      <c r="E80" s="26">
        <v>6.0</v>
      </c>
      <c r="F80" s="26">
        <f>SUMIF(Tally!$AC:$AC,$D80,Tally!$V:$V)</f>
        <v>6</v>
      </c>
    </row>
    <row r="81" ht="39.75" customHeight="1">
      <c r="A81" s="48">
        <f t="array" ref="A81">vlookup(D81, {MatID!C:C,MatID!A:A}, 2, 0)</f>
        <v>9.05</v>
      </c>
      <c r="B81" s="49" t="str">
        <f t="array" ref="B81">vlookup(D81, {MatID!C:C,MatID!B:B}, 2, 0)</f>
        <v>Mob-Wing</v>
      </c>
      <c r="C81" s="33" t="str">
        <f t="array" ref="C81">vlookup(D81, {Mats!B:B,Mats!A:A}, 2, 0)</f>
        <v/>
      </c>
      <c r="D81" s="50" t="s">
        <v>310</v>
      </c>
      <c r="E81" s="32">
        <v>48.0</v>
      </c>
      <c r="F81" s="32">
        <f>SUMIF(Tally!$AC:$AC,$D81,Tally!$V:$V)</f>
        <v>48</v>
      </c>
    </row>
    <row r="82" ht="39.75" customHeight="1">
      <c r="A82" s="45">
        <f t="array" ref="A82">vlookup(D82, {MatID!C:C,MatID!A:A}, 2, 0)</f>
        <v>9.05</v>
      </c>
      <c r="B82" s="46" t="str">
        <f t="array" ref="B82">vlookup(D82, {MatID!C:C,MatID!B:B}, 2, 0)</f>
        <v>Mob-Wing</v>
      </c>
      <c r="C82" s="27" t="str">
        <f t="array" ref="C82">vlookup(D82, {Mats!B:B,Mats!A:A}, 2, 0)</f>
        <v/>
      </c>
      <c r="D82" s="47" t="s">
        <v>311</v>
      </c>
      <c r="E82" s="26">
        <v>15.0</v>
      </c>
      <c r="F82" s="26">
        <f>SUMIF(Tally!$AC:$AC,$D82,Tally!$V:$V)</f>
        <v>15</v>
      </c>
    </row>
    <row r="83" ht="39.75" customHeight="1">
      <c r="A83" s="48">
        <f t="array" ref="A83">vlookup(D83, {MatID!C:C,MatID!A:A}, 2, 0)</f>
        <v>9.05</v>
      </c>
      <c r="B83" s="49" t="str">
        <f t="array" ref="B83">vlookup(D83, {MatID!C:C,MatID!B:B}, 2, 0)</f>
        <v>Mob-Wing</v>
      </c>
      <c r="C83" s="33" t="str">
        <f t="array" ref="C83">vlookup(D83, {Mats!B:B,Mats!A:A}, 2, 0)</f>
        <v/>
      </c>
      <c r="D83" s="50" t="s">
        <v>312</v>
      </c>
      <c r="E83" s="32">
        <v>45.0</v>
      </c>
      <c r="F83" s="32">
        <f>SUMIF(Tally!$AC:$AC,$D83,Tally!$V:$V)</f>
        <v>45</v>
      </c>
    </row>
    <row r="84" ht="39.75" customHeight="1">
      <c r="A84" s="45">
        <f t="array" ref="A84">vlookup(D84, {MatID!C:C,MatID!A:A}, 2, 0)</f>
        <v>9.05</v>
      </c>
      <c r="B84" s="46" t="str">
        <f t="array" ref="B84">vlookup(D84, {MatID!C:C,MatID!B:B}, 2, 0)</f>
        <v>Mob-Wing</v>
      </c>
      <c r="C84" s="27" t="str">
        <f t="array" ref="C84">vlookup(D84, {Mats!B:B,Mats!A:A}, 2, 0)</f>
        <v/>
      </c>
      <c r="D84" s="47" t="s">
        <v>313</v>
      </c>
      <c r="E84" s="26">
        <v>24.0</v>
      </c>
      <c r="F84" s="26">
        <f>SUMIF(Tally!$AC:$AC,$D84,Tally!$V:$V)</f>
        <v>24</v>
      </c>
    </row>
    <row r="85" ht="39.75" customHeight="1">
      <c r="A85" s="48">
        <f t="array" ref="A85">vlookup(D85, {MatID!C:C,MatID!A:A}, 2, 0)</f>
        <v>9.05</v>
      </c>
      <c r="B85" s="49" t="str">
        <f t="array" ref="B85">vlookup(D85, {MatID!C:C,MatID!B:B}, 2, 0)</f>
        <v>Mob-Wing</v>
      </c>
      <c r="C85" s="33" t="str">
        <f t="array" ref="C85">vlookup(D85, {Mats!B:B,Mats!A:A}, 2, 0)</f>
        <v/>
      </c>
      <c r="D85" s="50" t="s">
        <v>314</v>
      </c>
      <c r="E85" s="32">
        <v>36.0</v>
      </c>
      <c r="F85" s="32">
        <f>SUMIF(Tally!$AC:$AC,$D85,Tally!$V:$V)</f>
        <v>36</v>
      </c>
    </row>
    <row r="86" ht="39.75" customHeight="1">
      <c r="A86" s="45">
        <f t="array" ref="A86">vlookup(D86, {MatID!C:C,MatID!A:A}, 2, 0)</f>
        <v>9.05</v>
      </c>
      <c r="B86" s="46" t="str">
        <f t="array" ref="B86">vlookup(D86, {MatID!C:C,MatID!B:B}, 2, 0)</f>
        <v>Mob-Wing</v>
      </c>
      <c r="C86" s="27" t="str">
        <f t="array" ref="C86">vlookup(D86, {Mats!B:B,Mats!A:A}, 2, 0)</f>
        <v/>
      </c>
      <c r="D86" s="47" t="s">
        <v>315</v>
      </c>
      <c r="E86" s="26">
        <v>39.0</v>
      </c>
      <c r="F86" s="26">
        <f>SUMIF(Tally!$AC:$AC,$D86,Tally!$V:$V)</f>
        <v>39</v>
      </c>
    </row>
    <row r="87" ht="39.75" customHeight="1">
      <c r="A87" s="48">
        <f t="array" ref="A87">vlookup(D87, {MatID!C:C,MatID!A:A}, 2, 0)</f>
        <v>9.05</v>
      </c>
      <c r="B87" s="49" t="str">
        <f t="array" ref="B87">vlookup(D87, {MatID!C:C,MatID!B:B}, 2, 0)</f>
        <v>Mob-Wing</v>
      </c>
      <c r="C87" s="33" t="str">
        <f t="array" ref="C87">vlookup(D87, {Mats!B:B,Mats!A:A}, 2, 0)</f>
        <v/>
      </c>
      <c r="D87" s="50" t="s">
        <v>316</v>
      </c>
      <c r="E87" s="32">
        <v>33.0</v>
      </c>
      <c r="F87" s="32">
        <f>SUMIF(Tally!$AC:$AC,$D87,Tally!$V:$V)</f>
        <v>33</v>
      </c>
    </row>
    <row r="88" ht="39.75" customHeight="1">
      <c r="A88" s="45">
        <f t="array" ref="A88">vlookup(D88, {MatID!C:C,MatID!A:A}, 2, 0)</f>
        <v>9.06</v>
      </c>
      <c r="B88" s="46" t="str">
        <f t="array" ref="B88">vlookup(D88, {MatID!C:C,MatID!B:B}, 2, 0)</f>
        <v>Mob-Fin</v>
      </c>
      <c r="C88" s="27" t="str">
        <f t="array" ref="C88">vlookup(D88, {Mats!B:B,Mats!A:A}, 2, 0)</f>
        <v/>
      </c>
      <c r="D88" s="47" t="s">
        <v>317</v>
      </c>
      <c r="E88" s="26">
        <v>5.0</v>
      </c>
      <c r="F88" s="26">
        <f>SUMIF(Tally!$AC:$AC,$D88,Tally!$V:$V)</f>
        <v>5</v>
      </c>
    </row>
    <row r="89" ht="39.75" customHeight="1">
      <c r="A89" s="48">
        <f t="array" ref="A89">vlookup(D89, {MatID!C:C,MatID!A:A}, 2, 0)</f>
        <v>9.07</v>
      </c>
      <c r="B89" s="49" t="str">
        <f t="array" ref="B89">vlookup(D89, {MatID!C:C,MatID!B:B}, 2, 0)</f>
        <v>Mob-Bokoblin Horn</v>
      </c>
      <c r="C89" s="33" t="str">
        <f t="array" ref="C89">vlookup(D89, {Mats!B:B,Mats!A:A}, 2, 0)</f>
        <v/>
      </c>
      <c r="D89" s="50" t="s">
        <v>318</v>
      </c>
      <c r="E89" s="32">
        <v>20.0</v>
      </c>
      <c r="F89" s="32">
        <f>SUMIF(Tally!$AC:$AC,$D89,Tally!$V:$V)</f>
        <v>20</v>
      </c>
    </row>
    <row r="90" ht="39.75" customHeight="1">
      <c r="A90" s="45">
        <f t="array" ref="A90">vlookup(D90, {MatID!C:C,MatID!A:A}, 2, 0)</f>
        <v>9.07</v>
      </c>
      <c r="B90" s="46" t="str">
        <f t="array" ref="B90">vlookup(D90, {MatID!C:C,MatID!B:B}, 2, 0)</f>
        <v>Mob-Bokoblin Horn</v>
      </c>
      <c r="C90" s="27" t="str">
        <f t="array" ref="C90">vlookup(D90, {Mats!B:B,Mats!A:A}, 2, 0)</f>
        <v/>
      </c>
      <c r="D90" s="47" t="s">
        <v>319</v>
      </c>
      <c r="E90" s="26">
        <v>20.0</v>
      </c>
      <c r="F90" s="26">
        <f>SUMIF(Tally!$AC:$AC,$D90,Tally!$V:$V)</f>
        <v>20</v>
      </c>
    </row>
    <row r="91" ht="39.75" customHeight="1">
      <c r="A91" s="48">
        <f t="array" ref="A91">vlookup(D91, {MatID!C:C,MatID!A:A}, 2, 0)</f>
        <v>9.07</v>
      </c>
      <c r="B91" s="49" t="str">
        <f t="array" ref="B91">vlookup(D91, {MatID!C:C,MatID!B:B}, 2, 0)</f>
        <v>Mob-Bokoblin Horn</v>
      </c>
      <c r="C91" s="33" t="str">
        <f t="array" ref="C91">vlookup(D91, {Mats!B:B,Mats!A:A}, 2, 0)</f>
        <v/>
      </c>
      <c r="D91" s="50" t="s">
        <v>320</v>
      </c>
      <c r="E91" s="32">
        <v>20.0</v>
      </c>
      <c r="F91" s="32">
        <f>SUMIF(Tally!$AC:$AC,$D91,Tally!$V:$V)</f>
        <v>20</v>
      </c>
    </row>
    <row r="92" ht="39.75" customHeight="1">
      <c r="A92" s="45">
        <f t="array" ref="A92">vlookup(D92, {MatID!C:C,MatID!A:A}, 2, 0)</f>
        <v>9.07</v>
      </c>
      <c r="B92" s="46" t="str">
        <f t="array" ref="B92">vlookup(D92, {MatID!C:C,MatID!B:B}, 2, 0)</f>
        <v>Mob-Bokoblin Horn</v>
      </c>
      <c r="C92" s="27" t="str">
        <f t="array" ref="C92">vlookup(D92, {Mats!B:B,Mats!A:A}, 2, 0)</f>
        <v/>
      </c>
      <c r="D92" s="47" t="s">
        <v>321</v>
      </c>
      <c r="E92" s="26">
        <v>29.0</v>
      </c>
      <c r="F92" s="26">
        <f>SUMIF(Tally!$AC:$AC,$D92,Tally!$V:$V)</f>
        <v>29</v>
      </c>
    </row>
    <row r="93" ht="39.75" customHeight="1">
      <c r="A93" s="48">
        <f t="array" ref="A93">vlookup(D93, {MatID!C:C,MatID!A:A}, 2, 0)</f>
        <v>9.08</v>
      </c>
      <c r="B93" s="49" t="str">
        <f t="array" ref="B93">vlookup(D93, {MatID!C:C,MatID!B:B}, 2, 0)</f>
        <v>Mob-Boss Bokoblin Horn</v>
      </c>
      <c r="C93" s="33" t="str">
        <f t="array" ref="C93">vlookup(D93, {Mats!B:B,Mats!A:A}, 2, 0)</f>
        <v/>
      </c>
      <c r="D93" s="50" t="s">
        <v>322</v>
      </c>
      <c r="E93" s="32">
        <v>9.0</v>
      </c>
      <c r="F93" s="32">
        <f>SUMIF(Tally!$AC:$AC,$D93,Tally!$V:$V)</f>
        <v>9</v>
      </c>
    </row>
    <row r="94" ht="39.75" customHeight="1">
      <c r="A94" s="45">
        <f t="array" ref="A94">vlookup(D94, {MatID!C:C,MatID!A:A}, 2, 0)</f>
        <v>9.08</v>
      </c>
      <c r="B94" s="46" t="str">
        <f t="array" ref="B94">vlookup(D94, {MatID!C:C,MatID!B:B}, 2, 0)</f>
        <v>Mob-Boss Bokoblin Horn</v>
      </c>
      <c r="C94" s="27" t="str">
        <f t="array" ref="C94">vlookup(D94, {Mats!B:B,Mats!A:A}, 2, 0)</f>
        <v/>
      </c>
      <c r="D94" s="47" t="s">
        <v>323</v>
      </c>
      <c r="E94" s="26">
        <v>9.0</v>
      </c>
      <c r="F94" s="26">
        <f>SUMIF(Tally!$AC:$AC,$D94,Tally!$V:$V)</f>
        <v>9</v>
      </c>
    </row>
    <row r="95" ht="39.75" customHeight="1">
      <c r="A95" s="48">
        <f t="array" ref="A95">vlookup(D95, {MatID!C:C,MatID!A:A}, 2, 0)</f>
        <v>9.08</v>
      </c>
      <c r="B95" s="49" t="str">
        <f t="array" ref="B95">vlookup(D95, {MatID!C:C,MatID!B:B}, 2, 0)</f>
        <v>Mob-Boss Bokoblin Horn</v>
      </c>
      <c r="C95" s="33" t="str">
        <f t="array" ref="C95">vlookup(D95, {Mats!B:B,Mats!A:A}, 2, 0)</f>
        <v/>
      </c>
      <c r="D95" s="50" t="s">
        <v>324</v>
      </c>
      <c r="E95" s="32">
        <v>9.0</v>
      </c>
      <c r="F95" s="32">
        <f>SUMIF(Tally!$AC:$AC,$D95,Tally!$V:$V)</f>
        <v>9</v>
      </c>
    </row>
    <row r="96" ht="39.75" customHeight="1">
      <c r="A96" s="45">
        <f t="array" ref="A96">vlookup(D96, {MatID!C:C,MatID!A:A}, 2, 0)</f>
        <v>9.08</v>
      </c>
      <c r="B96" s="46" t="str">
        <f t="array" ref="B96">vlookup(D96, {MatID!C:C,MatID!B:B}, 2, 0)</f>
        <v>Mob-Boss Bokoblin Horn</v>
      </c>
      <c r="C96" s="27" t="str">
        <f t="array" ref="C96">vlookup(D96, {Mats!B:B,Mats!A:A}, 2, 0)</f>
        <v/>
      </c>
      <c r="D96" s="47" t="s">
        <v>325</v>
      </c>
      <c r="E96" s="26">
        <v>9.0</v>
      </c>
      <c r="F96" s="26">
        <f>SUMIF(Tally!$AC:$AC,$D96,Tally!$V:$V)</f>
        <v>9</v>
      </c>
    </row>
    <row r="97" ht="39.75" customHeight="1">
      <c r="A97" s="48">
        <f t="array" ref="A97">vlookup(D97, {MatID!C:C,MatID!A:A}, 2, 0)</f>
        <v>9.09</v>
      </c>
      <c r="B97" s="49" t="str">
        <f t="array" ref="B97">vlookup(D97, {MatID!C:C,MatID!B:B}, 2, 0)</f>
        <v>Mob-Lizalfos Horn</v>
      </c>
      <c r="C97" s="33" t="str">
        <f t="array" ref="C97">vlookup(D97, {Mats!B:B,Mats!A:A}, 2, 0)</f>
        <v/>
      </c>
      <c r="D97" s="50" t="s">
        <v>326</v>
      </c>
      <c r="E97" s="32">
        <v>15.0</v>
      </c>
      <c r="F97" s="32">
        <f>SUMIF(Tally!$AC:$AC,$D97,Tally!$V:$V)</f>
        <v>15</v>
      </c>
    </row>
    <row r="98" ht="39.75" customHeight="1">
      <c r="A98" s="45">
        <f t="array" ref="A98">vlookup(D98, {MatID!C:C,MatID!A:A}, 2, 0)</f>
        <v>9.09</v>
      </c>
      <c r="B98" s="46" t="str">
        <f t="array" ref="B98">vlookup(D98, {MatID!C:C,MatID!B:B}, 2, 0)</f>
        <v>Mob-Lizalfos Horn</v>
      </c>
      <c r="C98" s="27" t="str">
        <f t="array" ref="C98">vlookup(D98, {Mats!B:B,Mats!A:A}, 2, 0)</f>
        <v/>
      </c>
      <c r="D98" s="47" t="s">
        <v>327</v>
      </c>
      <c r="E98" s="26">
        <v>15.0</v>
      </c>
      <c r="F98" s="26">
        <f>SUMIF(Tally!$AC:$AC,$D98,Tally!$V:$V)</f>
        <v>15</v>
      </c>
    </row>
    <row r="99" ht="39.75" customHeight="1">
      <c r="A99" s="48">
        <f t="array" ref="A99">vlookup(D99, {MatID!C:C,MatID!A:A}, 2, 0)</f>
        <v>9.09</v>
      </c>
      <c r="B99" s="49" t="str">
        <f t="array" ref="B99">vlookup(D99, {MatID!C:C,MatID!B:B}, 2, 0)</f>
        <v>Mob-Lizalfos Horn</v>
      </c>
      <c r="C99" s="33" t="str">
        <f t="array" ref="C99">vlookup(D99, {Mats!B:B,Mats!A:A}, 2, 0)</f>
        <v/>
      </c>
      <c r="D99" s="50" t="s">
        <v>328</v>
      </c>
      <c r="E99" s="32">
        <v>33.0</v>
      </c>
      <c r="F99" s="32">
        <f>SUMIF(Tally!$AC:$AC,$D99,Tally!$V:$V)</f>
        <v>33</v>
      </c>
    </row>
    <row r="100" ht="39.75" customHeight="1">
      <c r="A100" s="45">
        <f t="array" ref="A100">vlookup(D100, {MatID!C:C,MatID!A:A}, 2, 0)</f>
        <v>9.09</v>
      </c>
      <c r="B100" s="46" t="str">
        <f t="array" ref="B100">vlookup(D100, {MatID!C:C,MatID!B:B}, 2, 0)</f>
        <v>Mob-Lizalfos Horn</v>
      </c>
      <c r="C100" s="27" t="str">
        <f t="array" ref="C100">vlookup(D100, {Mats!B:B,Mats!A:A}, 2, 0)</f>
        <v/>
      </c>
      <c r="D100" s="47" t="s">
        <v>329</v>
      </c>
      <c r="E100" s="26">
        <v>30.0</v>
      </c>
      <c r="F100" s="26">
        <f>SUMIF(Tally!$AC:$AC,$D100,Tally!$V:$V)</f>
        <v>30</v>
      </c>
    </row>
    <row r="101" ht="39.75" customHeight="1">
      <c r="A101" s="48">
        <f t="array" ref="A101">vlookup(D101, {MatID!C:C,MatID!A:A}, 2, 0)</f>
        <v>9.09</v>
      </c>
      <c r="B101" s="49" t="str">
        <f t="array" ref="B101">vlookup(D101, {MatID!C:C,MatID!B:B}, 2, 0)</f>
        <v>Mob-Lizalfos Horn</v>
      </c>
      <c r="C101" s="33" t="str">
        <f t="array" ref="C101">vlookup(D101, {Mats!B:B,Mats!A:A}, 2, 0)</f>
        <v/>
      </c>
      <c r="D101" s="50" t="s">
        <v>330</v>
      </c>
      <c r="E101" s="32">
        <v>30.0</v>
      </c>
      <c r="F101" s="32">
        <f>SUMIF(Tally!$AC:$AC,$D101,Tally!$V:$V)</f>
        <v>30</v>
      </c>
    </row>
    <row r="102" ht="39.75" customHeight="1">
      <c r="A102" s="45">
        <f t="array" ref="A102">vlookup(D102, {MatID!C:C,MatID!A:A}, 2, 0)</f>
        <v>9.09</v>
      </c>
      <c r="B102" s="46" t="str">
        <f t="array" ref="B102">vlookup(D102, {MatID!C:C,MatID!B:B}, 2, 0)</f>
        <v>Mob-Lizalfos Horn</v>
      </c>
      <c r="C102" s="27" t="str">
        <f t="array" ref="C102">vlookup(D102, {Mats!B:B,Mats!A:A}, 2, 0)</f>
        <v/>
      </c>
      <c r="D102" s="47" t="s">
        <v>331</v>
      </c>
      <c r="E102" s="26">
        <v>9.0</v>
      </c>
      <c r="F102" s="26">
        <f>SUMIF(Tally!$AC:$AC,$D102,Tally!$V:$V)</f>
        <v>9</v>
      </c>
    </row>
    <row r="103" ht="39.75" customHeight="1">
      <c r="A103" s="48">
        <f t="array" ref="A103">vlookup(D103, {MatID!C:C,MatID!A:A}, 2, 0)</f>
        <v>9.09</v>
      </c>
      <c r="B103" s="49" t="str">
        <f t="array" ref="B103">vlookup(D103, {MatID!C:C,MatID!B:B}, 2, 0)</f>
        <v>Mob-Lizalfos Horn</v>
      </c>
      <c r="C103" s="33" t="str">
        <f t="array" ref="C103">vlookup(D103, {Mats!B:B,Mats!A:A}, 2, 0)</f>
        <v/>
      </c>
      <c r="D103" s="50" t="s">
        <v>332</v>
      </c>
      <c r="E103" s="32">
        <v>9.0</v>
      </c>
      <c r="F103" s="32">
        <f>SUMIF(Tally!$AC:$AC,$D103,Tally!$V:$V)</f>
        <v>9</v>
      </c>
    </row>
    <row r="104" ht="39.75" customHeight="1">
      <c r="A104" s="45">
        <f t="array" ref="A104">vlookup(D104, {MatID!C:C,MatID!A:A}, 2, 0)</f>
        <v>9.1</v>
      </c>
      <c r="B104" s="46" t="str">
        <f t="array" ref="B104">vlookup(D104, {MatID!C:C,MatID!B:B}, 2, 0)</f>
        <v>Mob-Lynel Horn</v>
      </c>
      <c r="C104" s="27" t="str">
        <f t="array" ref="C104">vlookup(D104, {Mats!B:B,Mats!A:A}, 2, 0)</f>
        <v/>
      </c>
      <c r="D104" s="47" t="s">
        <v>333</v>
      </c>
      <c r="E104" s="26">
        <v>9.0</v>
      </c>
      <c r="F104" s="26">
        <f>SUMIF(Tally!$AC:$AC,$D104,Tally!$V:$V)</f>
        <v>9</v>
      </c>
    </row>
    <row r="105" ht="39.75" customHeight="1">
      <c r="A105" s="48">
        <f t="array" ref="A105">vlookup(D105, {MatID!C:C,MatID!A:A}, 2, 0)</f>
        <v>9.1</v>
      </c>
      <c r="B105" s="49" t="str">
        <f t="array" ref="B105">vlookup(D105, {MatID!C:C,MatID!B:B}, 2, 0)</f>
        <v>Mob-Lynel Horn</v>
      </c>
      <c r="C105" s="33" t="str">
        <f t="array" ref="C105">vlookup(D105, {Mats!B:B,Mats!A:A}, 2, 0)</f>
        <v/>
      </c>
      <c r="D105" s="50" t="s">
        <v>334</v>
      </c>
      <c r="E105" s="32">
        <v>6.0</v>
      </c>
      <c r="F105" s="32">
        <f>SUMIF(Tally!$AC:$AC,$D105,Tally!$V:$V)</f>
        <v>6</v>
      </c>
    </row>
    <row r="106" ht="39.75" customHeight="1">
      <c r="A106" s="45">
        <f t="array" ref="A106">vlookup(D106, {MatID!C:C,MatID!A:A}, 2, 0)</f>
        <v>9.1</v>
      </c>
      <c r="B106" s="46" t="str">
        <f t="array" ref="B106">vlookup(D106, {MatID!C:C,MatID!B:B}, 2, 0)</f>
        <v>Mob-Lynel Horn</v>
      </c>
      <c r="C106" s="27" t="str">
        <f t="array" ref="C106">vlookup(D106, {Mats!B:B,Mats!A:A}, 2, 0)</f>
        <v/>
      </c>
      <c r="D106" s="47" t="s">
        <v>335</v>
      </c>
      <c r="E106" s="26">
        <v>9.0</v>
      </c>
      <c r="F106" s="26">
        <f>SUMIF(Tally!$AC:$AC,$D106,Tally!$V:$V)</f>
        <v>9</v>
      </c>
    </row>
    <row r="107" ht="39.75" customHeight="1">
      <c r="A107" s="48">
        <f t="array" ref="A107">vlookup(D107, {MatID!C:C,MatID!A:A}, 2, 0)</f>
        <v>9.1</v>
      </c>
      <c r="B107" s="49" t="str">
        <f t="array" ref="B107">vlookup(D107, {MatID!C:C,MatID!B:B}, 2, 0)</f>
        <v>Mob-Lynel Horn</v>
      </c>
      <c r="C107" s="33" t="str">
        <f t="array" ref="C107">vlookup(D107, {Mats!B:B,Mats!A:A}, 2, 0)</f>
        <v/>
      </c>
      <c r="D107" s="50" t="s">
        <v>336</v>
      </c>
      <c r="E107" s="32">
        <v>9.0</v>
      </c>
      <c r="F107" s="32">
        <f>SUMIF(Tally!$AC:$AC,$D107,Tally!$V:$V)</f>
        <v>9</v>
      </c>
    </row>
    <row r="108" ht="39.75" customHeight="1">
      <c r="A108" s="45">
        <f t="array" ref="A108">vlookup(D108, {MatID!C:C,MatID!A:A}, 2, 0)</f>
        <v>9.11</v>
      </c>
      <c r="B108" s="46" t="str">
        <f t="array" ref="B108">vlookup(D108, {MatID!C:C,MatID!B:B}, 2, 0)</f>
        <v>Mob-Construct Horn</v>
      </c>
      <c r="C108" s="27" t="str">
        <f t="array" ref="C108">vlookup(D108, {Mats!B:B,Mats!A:A}, 2, 0)</f>
        <v/>
      </c>
      <c r="D108" s="47" t="s">
        <v>337</v>
      </c>
      <c r="E108" s="26">
        <v>15.0</v>
      </c>
      <c r="F108" s="26">
        <f>SUMIF(Tally!$AC:$AC,$D108,Tally!$V:$V)</f>
        <v>15</v>
      </c>
    </row>
    <row r="109" ht="39.75" customHeight="1">
      <c r="A109" s="48">
        <f t="array" ref="A109">vlookup(D109, {MatID!C:C,MatID!A:A}, 2, 0)</f>
        <v>9.11</v>
      </c>
      <c r="B109" s="49" t="str">
        <f t="array" ref="B109">vlookup(D109, {MatID!C:C,MatID!B:B}, 2, 0)</f>
        <v>Mob-Construct Horn</v>
      </c>
      <c r="C109" s="33" t="str">
        <f t="array" ref="C109">vlookup(D109, {Mats!B:B,Mats!A:A}, 2, 0)</f>
        <v/>
      </c>
      <c r="D109" s="50" t="s">
        <v>338</v>
      </c>
      <c r="E109" s="32">
        <v>15.0</v>
      </c>
      <c r="F109" s="32">
        <f>SUMIF(Tally!$AC:$AC,$D109,Tally!$V:$V)</f>
        <v>15</v>
      </c>
    </row>
    <row r="110" ht="39.75" customHeight="1">
      <c r="A110" s="45">
        <f t="array" ref="A110">vlookup(D110, {MatID!C:C,MatID!A:A}, 2, 0)</f>
        <v>9.11</v>
      </c>
      <c r="B110" s="46" t="str">
        <f t="array" ref="B110">vlookup(D110, {MatID!C:C,MatID!B:B}, 2, 0)</f>
        <v>Mob-Construct Horn</v>
      </c>
      <c r="C110" s="27" t="str">
        <f t="array" ref="C110">vlookup(D110, {Mats!B:B,Mats!A:A}, 2, 0)</f>
        <v/>
      </c>
      <c r="D110" s="47" t="s">
        <v>339</v>
      </c>
      <c r="E110" s="26">
        <v>15.0</v>
      </c>
      <c r="F110" s="26">
        <f>SUMIF(Tally!$AC:$AC,$D110,Tally!$V:$V)</f>
        <v>15</v>
      </c>
    </row>
    <row r="111" ht="39.75" customHeight="1">
      <c r="A111" s="48">
        <f t="array" ref="A111">vlookup(D111, {MatID!C:C,MatID!A:A}, 2, 0)</f>
        <v>9.11</v>
      </c>
      <c r="B111" s="49" t="str">
        <f t="array" ref="B111">vlookup(D111, {MatID!C:C,MatID!B:B}, 2, 0)</f>
        <v>Mob-Construct Horn</v>
      </c>
      <c r="C111" s="33" t="str">
        <f t="array" ref="C111">vlookup(D111, {Mats!B:B,Mats!A:A}, 2, 0)</f>
        <v/>
      </c>
      <c r="D111" s="50" t="s">
        <v>340</v>
      </c>
      <c r="E111" s="32">
        <v>15.0</v>
      </c>
      <c r="F111" s="32">
        <f>SUMIF(Tally!$AC:$AC,$D111,Tally!$V:$V)</f>
        <v>15</v>
      </c>
    </row>
    <row r="112" ht="39.75" customHeight="1">
      <c r="A112" s="45">
        <f t="array" ref="A112">vlookup(D112, {MatID!C:C,MatID!A:A}, 2, 0)</f>
        <v>9.11</v>
      </c>
      <c r="B112" s="46" t="str">
        <f t="array" ref="B112">vlookup(D112, {MatID!C:C,MatID!B:B}, 2, 0)</f>
        <v>Mob-Construct Horn</v>
      </c>
      <c r="C112" s="27" t="str">
        <f t="array" ref="C112">vlookup(D112, {Mats!B:B,Mats!A:A}, 2, 0)</f>
        <v/>
      </c>
      <c r="D112" s="47" t="s">
        <v>341</v>
      </c>
      <c r="E112" s="26">
        <v>15.0</v>
      </c>
      <c r="F112" s="26">
        <f>SUMIF(Tally!$AC:$AC,$D112,Tally!$V:$V)</f>
        <v>15</v>
      </c>
    </row>
    <row r="113" ht="39.75" customHeight="1">
      <c r="A113" s="48">
        <f t="array" ref="A113">vlookup(D113, {MatID!C:C,MatID!A:A}, 2, 0)</f>
        <v>9.11</v>
      </c>
      <c r="B113" s="49" t="str">
        <f t="array" ref="B113">vlookup(D113, {MatID!C:C,MatID!B:B}, 2, 0)</f>
        <v>Mob-Construct Horn</v>
      </c>
      <c r="C113" s="33" t="str">
        <f t="array" ref="C113">vlookup(D113, {Mats!B:B,Mats!A:A}, 2, 0)</f>
        <v/>
      </c>
      <c r="D113" s="50" t="s">
        <v>342</v>
      </c>
      <c r="E113" s="32">
        <v>15.0</v>
      </c>
      <c r="F113" s="32">
        <f>SUMIF(Tally!$AC:$AC,$D113,Tally!$V:$V)</f>
        <v>15</v>
      </c>
    </row>
    <row r="114" ht="39.75" customHeight="1">
      <c r="A114" s="45">
        <f t="array" ref="A114">vlookup(D114, {MatID!C:C,MatID!A:A}, 2, 0)</f>
        <v>9.11</v>
      </c>
      <c r="B114" s="46" t="str">
        <f t="array" ref="B114">vlookup(D114, {MatID!C:C,MatID!B:B}, 2, 0)</f>
        <v>Mob-Construct Horn</v>
      </c>
      <c r="C114" s="27" t="str">
        <f t="array" ref="C114">vlookup(D114, {Mats!B:B,Mats!A:A}, 2, 0)</f>
        <v/>
      </c>
      <c r="D114" s="47" t="s">
        <v>343</v>
      </c>
      <c r="E114" s="26">
        <v>15.0</v>
      </c>
      <c r="F114" s="26">
        <f>SUMIF(Tally!$AC:$AC,$D114,Tally!$V:$V)</f>
        <v>15</v>
      </c>
    </row>
    <row r="115" ht="39.75" customHeight="1">
      <c r="A115" s="48">
        <f t="array" ref="A115">vlookup(D115, {MatID!C:C,MatID!A:A}, 2, 0)</f>
        <v>9.12</v>
      </c>
      <c r="B115" s="49" t="str">
        <f t="array" ref="B115">vlookup(D115, {MatID!C:C,MatID!B:B}, 2, 0)</f>
        <v>Mob-Toenail</v>
      </c>
      <c r="C115" s="33" t="str">
        <f t="array" ref="C115">vlookup(D115, {Mats!B:B,Mats!A:A}, 2, 0)</f>
        <v/>
      </c>
      <c r="D115" s="50" t="s">
        <v>344</v>
      </c>
      <c r="E115" s="32">
        <v>15.0</v>
      </c>
      <c r="F115" s="32">
        <f>SUMIF(Tally!$AC:$AC,$D115,Tally!$V:$V)</f>
        <v>15</v>
      </c>
    </row>
    <row r="116" ht="39.75" customHeight="1">
      <c r="A116" s="45">
        <f t="array" ref="A116">vlookup(D116, {MatID!C:C,MatID!A:A}, 2, 0)</f>
        <v>9.13</v>
      </c>
      <c r="B116" s="46" t="str">
        <f t="array" ref="B116">vlookup(D116, {MatID!C:C,MatID!B:B}, 2, 0)</f>
        <v>Mob-Gleeok Horn</v>
      </c>
      <c r="C116" s="27" t="str">
        <f t="array" ref="C116">vlookup(D116, {Mats!B:B,Mats!A:A}, 2, 0)</f>
        <v/>
      </c>
      <c r="D116" s="47" t="s">
        <v>345</v>
      </c>
      <c r="E116" s="26">
        <v>15.0</v>
      </c>
      <c r="F116" s="26">
        <f>SUMIF(Tally!$AC:$AC,$D116,Tally!$V:$V)</f>
        <v>15</v>
      </c>
    </row>
    <row r="117" ht="39.75" customHeight="1">
      <c r="A117" s="48">
        <f t="array" ref="A117">vlookup(D117, {MatID!C:C,MatID!A:A}, 2, 0)</f>
        <v>9.13</v>
      </c>
      <c r="B117" s="49" t="str">
        <f t="array" ref="B117">vlookup(D117, {MatID!C:C,MatID!B:B}, 2, 0)</f>
        <v>Mob-Gleeok Horn</v>
      </c>
      <c r="C117" s="33" t="str">
        <f t="array" ref="C117">vlookup(D117, {Mats!B:B,Mats!A:A}, 2, 0)</f>
        <v/>
      </c>
      <c r="D117" s="50" t="s">
        <v>346</v>
      </c>
      <c r="E117" s="32">
        <v>15.0</v>
      </c>
      <c r="F117" s="32">
        <f>SUMIF(Tally!$AC:$AC,$D117,Tally!$V:$V)</f>
        <v>15</v>
      </c>
    </row>
    <row r="118" ht="39.75" customHeight="1">
      <c r="A118" s="45">
        <f t="array" ref="A118">vlookup(D118, {MatID!C:C,MatID!A:A}, 2, 0)</f>
        <v>9.13</v>
      </c>
      <c r="B118" s="46" t="str">
        <f t="array" ref="B118">vlookup(D118, {MatID!C:C,MatID!B:B}, 2, 0)</f>
        <v>Mob-Gleeok Horn</v>
      </c>
      <c r="C118" s="27" t="str">
        <f t="array" ref="C118">vlookup(D118, {Mats!B:B,Mats!A:A}, 2, 0)</f>
        <v/>
      </c>
      <c r="D118" s="47" t="s">
        <v>347</v>
      </c>
      <c r="E118" s="26">
        <v>15.0</v>
      </c>
      <c r="F118" s="26">
        <f>SUMIF(Tally!$AC:$AC,$D118,Tally!$V:$V)</f>
        <v>15</v>
      </c>
    </row>
    <row r="119" ht="39.75" customHeight="1">
      <c r="A119" s="48">
        <f t="array" ref="A119">vlookup(D119, {MatID!C:C,MatID!A:A}, 2, 0)</f>
        <v>9.14</v>
      </c>
      <c r="B119" s="49" t="str">
        <f t="array" ref="B119">vlookup(D119, {MatID!C:C,MatID!B:B}, 2, 0)</f>
        <v>Mob-Dragon Horn</v>
      </c>
      <c r="C119" s="33" t="str">
        <f t="array" ref="C119">vlookup(D119, {Mats!B:B,Mats!A:A}, 2, 0)</f>
        <v/>
      </c>
      <c r="D119" s="50" t="s">
        <v>348</v>
      </c>
      <c r="E119" s="32">
        <v>5.0</v>
      </c>
      <c r="F119" s="32">
        <f>SUMIF(Tally!$AC:$AC,$D119,Tally!$V:$V)</f>
        <v>5</v>
      </c>
    </row>
    <row r="120" ht="39.75" customHeight="1">
      <c r="A120" s="45">
        <f t="array" ref="A120">vlookup(D120, {MatID!C:C,MatID!A:A}, 2, 0)</f>
        <v>9.14</v>
      </c>
      <c r="B120" s="46" t="str">
        <f t="array" ref="B120">vlookup(D120, {MatID!C:C,MatID!B:B}, 2, 0)</f>
        <v>Mob-Dragon Horn</v>
      </c>
      <c r="C120" s="27" t="str">
        <f t="array" ref="C120">vlookup(D120, {Mats!B:B,Mats!A:A}, 2, 0)</f>
        <v/>
      </c>
      <c r="D120" s="47" t="s">
        <v>349</v>
      </c>
      <c r="E120" s="26">
        <v>5.0</v>
      </c>
      <c r="F120" s="26">
        <f>SUMIF(Tally!$AC:$AC,$D120,Tally!$V:$V)</f>
        <v>5</v>
      </c>
    </row>
    <row r="121" ht="39.75" customHeight="1">
      <c r="A121" s="48">
        <f t="array" ref="A121">vlookup(D121, {MatID!C:C,MatID!A:A}, 2, 0)</f>
        <v>9.14</v>
      </c>
      <c r="B121" s="49" t="str">
        <f t="array" ref="B121">vlookup(D121, {MatID!C:C,MatID!B:B}, 2, 0)</f>
        <v>Mob-Dragon Horn</v>
      </c>
      <c r="C121" s="33" t="str">
        <f t="array" ref="C121">vlookup(D121, {Mats!B:B,Mats!A:A}, 2, 0)</f>
        <v/>
      </c>
      <c r="D121" s="50" t="s">
        <v>350</v>
      </c>
      <c r="E121" s="32">
        <v>3.0</v>
      </c>
      <c r="F121" s="32">
        <f>SUMIF(Tally!$AC:$AC,$D121,Tally!$V:$V)</f>
        <v>3</v>
      </c>
    </row>
    <row r="122" ht="39.75" customHeight="1">
      <c r="A122" s="45">
        <f t="array" ref="A122">vlookup(D122, {MatID!C:C,MatID!A:A}, 2, 0)</f>
        <v>9.14</v>
      </c>
      <c r="B122" s="46" t="str">
        <f t="array" ref="B122">vlookup(D122, {MatID!C:C,MatID!B:B}, 2, 0)</f>
        <v>Mob-Dragon Horn</v>
      </c>
      <c r="C122" s="27" t="str">
        <f t="array" ref="C122">vlookup(D122, {Mats!B:B,Mats!A:A}, 2, 0)</f>
        <v/>
      </c>
      <c r="D122" s="47" t="s">
        <v>351</v>
      </c>
      <c r="E122" s="26">
        <v>5.0</v>
      </c>
      <c r="F122" s="26">
        <f>SUMIF(Tally!$AC:$AC,$D122,Tally!$V:$V)</f>
        <v>5</v>
      </c>
    </row>
    <row r="123" ht="39.75" customHeight="1">
      <c r="A123" s="48">
        <f t="array" ref="A123">vlookup(D123, {MatID!C:C,MatID!A:A}, 2, 0)</f>
        <v>9.15</v>
      </c>
      <c r="B123" s="49" t="str">
        <f t="array" ref="B123">vlookup(D123, {MatID!C:C,MatID!B:B}, 2, 0)</f>
        <v>Mob-Stone</v>
      </c>
      <c r="C123" s="33" t="str">
        <f t="array" ref="C123">vlookup(D123, {Mats!B:B,Mats!A:A}, 2, 0)</f>
        <v/>
      </c>
      <c r="D123" s="50" t="s">
        <v>352</v>
      </c>
      <c r="E123" s="32">
        <v>15.0</v>
      </c>
      <c r="F123" s="32">
        <f>SUMIF(Tally!$AC:$AC,$D123,Tally!$V:$V)</f>
        <v>15</v>
      </c>
    </row>
    <row r="124" ht="39.75" customHeight="1">
      <c r="A124" s="45">
        <f t="array" ref="A124">vlookup(D124, {MatID!C:C,MatID!A:A}, 2, 0)</f>
        <v>9.15</v>
      </c>
      <c r="B124" s="46" t="str">
        <f t="array" ref="B124">vlookup(D124, {MatID!C:C,MatID!B:B}, 2, 0)</f>
        <v>Mob-Stone</v>
      </c>
      <c r="C124" s="27" t="str">
        <f t="array" ref="C124">vlookup(D124, {Mats!B:B,Mats!A:A}, 2, 0)</f>
        <v/>
      </c>
      <c r="D124" s="47" t="s">
        <v>353</v>
      </c>
      <c r="E124" s="26">
        <v>15.0</v>
      </c>
      <c r="F124" s="26">
        <f>SUMIF(Tally!$AC:$AC,$D124,Tally!$V:$V)</f>
        <v>15</v>
      </c>
    </row>
    <row r="125" ht="39.75" customHeight="1">
      <c r="A125" s="48">
        <f t="array" ref="A125">vlookup(D125, {MatID!C:C,MatID!A:A}, 2, 0)</f>
        <v>9.15</v>
      </c>
      <c r="B125" s="49" t="str">
        <f t="array" ref="B125">vlookup(D125, {MatID!C:C,MatID!B:B}, 2, 0)</f>
        <v>Mob-Stone</v>
      </c>
      <c r="C125" s="33" t="str">
        <f t="array" ref="C125">vlookup(D125, {Mats!B:B,Mats!A:A}, 2, 0)</f>
        <v/>
      </c>
      <c r="D125" s="50" t="s">
        <v>354</v>
      </c>
      <c r="E125" s="32">
        <v>15.0</v>
      </c>
      <c r="F125" s="32">
        <f>SUMIF(Tally!$AC:$AC,$D125,Tally!$V:$V)</f>
        <v>15</v>
      </c>
    </row>
    <row r="126" ht="39.75" customHeight="1">
      <c r="A126" s="45">
        <f t="array" ref="A126">vlookup(D126, {MatID!C:C,MatID!A:A}, 2, 0)</f>
        <v>9.16</v>
      </c>
      <c r="B126" s="46" t="str">
        <f t="array" ref="B126">vlookup(D126, {MatID!C:C,MatID!B:B}, 2, 0)</f>
        <v>Mob-Moblin Horn</v>
      </c>
      <c r="C126" s="27" t="str">
        <f t="array" ref="C126">vlookup(D126, {Mats!B:B,Mats!A:A}, 2, 0)</f>
        <v/>
      </c>
      <c r="D126" s="47" t="s">
        <v>355</v>
      </c>
      <c r="E126" s="26">
        <v>15.0</v>
      </c>
      <c r="F126" s="26">
        <f>SUMIF(Tally!$AC:$AC,$D126,Tally!$V:$V)</f>
        <v>15</v>
      </c>
    </row>
    <row r="127" ht="39.75" customHeight="1">
      <c r="A127" s="48">
        <f t="array" ref="A127">vlookup(D127, {MatID!C:C,MatID!A:A}, 2, 0)</f>
        <v>9.16</v>
      </c>
      <c r="B127" s="49" t="str">
        <f t="array" ref="B127">vlookup(D127, {MatID!C:C,MatID!B:B}, 2, 0)</f>
        <v>Mob-Moblin Horn</v>
      </c>
      <c r="C127" s="33" t="str">
        <f t="array" ref="C127">vlookup(D127, {Mats!B:B,Mats!A:A}, 2, 0)</f>
        <v/>
      </c>
      <c r="D127" s="50" t="s">
        <v>356</v>
      </c>
      <c r="E127" s="32">
        <v>15.0</v>
      </c>
      <c r="F127" s="32">
        <f>SUMIF(Tally!$AC:$AC,$D127,Tally!$V:$V)</f>
        <v>15</v>
      </c>
    </row>
    <row r="128" ht="39.75" customHeight="1">
      <c r="A128" s="45">
        <f t="array" ref="A128">vlookup(D128, {MatID!C:C,MatID!A:A}, 2, 0)</f>
        <v>9.16</v>
      </c>
      <c r="B128" s="46" t="str">
        <f t="array" ref="B128">vlookup(D128, {MatID!C:C,MatID!B:B}, 2, 0)</f>
        <v>Mob-Moblin Horn</v>
      </c>
      <c r="C128" s="27" t="str">
        <f t="array" ref="C128">vlookup(D128, {Mats!B:B,Mats!A:A}, 2, 0)</f>
        <v/>
      </c>
      <c r="D128" s="47" t="s">
        <v>357</v>
      </c>
      <c r="E128" s="26">
        <v>9.0</v>
      </c>
      <c r="F128" s="26">
        <f>SUMIF(Tally!$AC:$AC,$D128,Tally!$V:$V)</f>
        <v>9</v>
      </c>
    </row>
    <row r="129" ht="39.75" customHeight="1">
      <c r="A129" s="48">
        <f t="array" ref="A129">vlookup(D129, {MatID!C:C,MatID!A:A}, 2, 0)</f>
        <v>9.16</v>
      </c>
      <c r="B129" s="49" t="str">
        <f t="array" ref="B129">vlookup(D129, {MatID!C:C,MatID!B:B}, 2, 0)</f>
        <v>Mob-Moblin Horn</v>
      </c>
      <c r="C129" s="33" t="str">
        <f t="array" ref="C129">vlookup(D129, {Mats!B:B,Mats!A:A}, 2, 0)</f>
        <v/>
      </c>
      <c r="D129" s="50" t="s">
        <v>358</v>
      </c>
      <c r="E129" s="32">
        <v>9.0</v>
      </c>
      <c r="F129" s="32">
        <f>SUMIF(Tally!$AC:$AC,$D129,Tally!$V:$V)</f>
        <v>9</v>
      </c>
    </row>
    <row r="130" ht="39.75" customHeight="1">
      <c r="A130" s="45">
        <f t="array" ref="A130">vlookup(D130, {MatID!C:C,MatID!A:A}, 2, 0)</f>
        <v>9.17</v>
      </c>
      <c r="B130" s="46" t="str">
        <f t="array" ref="B130">vlookup(D130, {MatID!C:C,MatID!B:B}, 2, 0)</f>
        <v>Mob-Horriblin Horn</v>
      </c>
      <c r="C130" s="27" t="str">
        <f t="array" ref="C130">vlookup(D130, {Mats!B:B,Mats!A:A}, 2, 0)</f>
        <v/>
      </c>
      <c r="D130" s="47" t="s">
        <v>359</v>
      </c>
      <c r="E130" s="26">
        <v>15.0</v>
      </c>
      <c r="F130" s="26">
        <f>SUMIF(Tally!$AC:$AC,$D130,Tally!$V:$V)</f>
        <v>15</v>
      </c>
    </row>
    <row r="131" ht="39.75" customHeight="1">
      <c r="A131" s="48">
        <f t="array" ref="A131">vlookup(D131, {MatID!C:C,MatID!A:A}, 2, 0)</f>
        <v>9.17</v>
      </c>
      <c r="B131" s="49" t="str">
        <f t="array" ref="B131">vlookup(D131, {MatID!C:C,MatID!B:B}, 2, 0)</f>
        <v>Mob-Horriblin Horn</v>
      </c>
      <c r="C131" s="33" t="str">
        <f t="array" ref="C131">vlookup(D131, {Mats!B:B,Mats!A:A}, 2, 0)</f>
        <v/>
      </c>
      <c r="D131" s="50" t="s">
        <v>360</v>
      </c>
      <c r="E131" s="32">
        <v>15.0</v>
      </c>
      <c r="F131" s="32">
        <f>SUMIF(Tally!$AC:$AC,$D131,Tally!$V:$V)</f>
        <v>15</v>
      </c>
    </row>
    <row r="132" ht="39.75" customHeight="1">
      <c r="A132" s="45">
        <f t="array" ref="A132">vlookup(D132, {MatID!C:C,MatID!A:A}, 2, 0)</f>
        <v>9.17</v>
      </c>
      <c r="B132" s="46" t="str">
        <f t="array" ref="B132">vlookup(D132, {MatID!C:C,MatID!B:B}, 2, 0)</f>
        <v>Mob-Horriblin Horn</v>
      </c>
      <c r="C132" s="27" t="str">
        <f t="array" ref="C132">vlookup(D132, {Mats!B:B,Mats!A:A}, 2, 0)</f>
        <v/>
      </c>
      <c r="D132" s="47" t="s">
        <v>361</v>
      </c>
      <c r="E132" s="26">
        <v>15.0</v>
      </c>
      <c r="F132" s="26">
        <f>SUMIF(Tally!$AC:$AC,$D132,Tally!$V:$V)</f>
        <v>15</v>
      </c>
    </row>
    <row r="133" ht="39.75" customHeight="1">
      <c r="A133" s="48">
        <f t="array" ref="A133">vlookup(D133, {MatID!C:C,MatID!A:A}, 2, 0)</f>
        <v>9.18</v>
      </c>
      <c r="B133" s="49" t="str">
        <f t="array" ref="B133">vlookup(D133, {MatID!C:C,MatID!B:B}, 2, 0)</f>
        <v>Mob-Lynel Horn</v>
      </c>
      <c r="C133" s="33" t="str">
        <f t="array" ref="C133">vlookup(D133, {Mats!B:B,Mats!A:A}, 2, 0)</f>
        <v/>
      </c>
      <c r="D133" s="50" t="s">
        <v>362</v>
      </c>
      <c r="E133" s="32">
        <v>9.0</v>
      </c>
      <c r="F133" s="32">
        <f>SUMIF(Tally!$AC:$AC,$D133,Tally!$V:$V)</f>
        <v>9</v>
      </c>
    </row>
    <row r="134" ht="39.75" customHeight="1">
      <c r="A134" s="45">
        <f t="array" ref="A134">vlookup(D134, {MatID!C:C,MatID!A:A}, 2, 0)</f>
        <v>9.18</v>
      </c>
      <c r="B134" s="46" t="str">
        <f t="array" ref="B134">vlookup(D134, {MatID!C:C,MatID!B:B}, 2, 0)</f>
        <v>Mob-Hoof</v>
      </c>
      <c r="C134" s="27" t="str">
        <f t="array" ref="C134">vlookup(D134, {Mats!B:B,Mats!A:A}, 2, 0)</f>
        <v/>
      </c>
      <c r="D134" s="47" t="s">
        <v>363</v>
      </c>
      <c r="E134" s="26">
        <v>15.0</v>
      </c>
      <c r="F134" s="26">
        <f>SUMIF(Tally!$AC:$AC,$D134,Tally!$V:$V)</f>
        <v>15</v>
      </c>
    </row>
    <row r="135" ht="39.75" customHeight="1">
      <c r="A135" s="48">
        <f t="array" ref="A135">vlookup(D135, {MatID!C:C,MatID!A:A}, 2, 0)</f>
        <v>9.18</v>
      </c>
      <c r="B135" s="49" t="str">
        <f t="array" ref="B135">vlookup(D135, {MatID!C:C,MatID!B:B}, 2, 0)</f>
        <v>Mob-Lynel Horn</v>
      </c>
      <c r="C135" s="33" t="str">
        <f t="array" ref="C135">vlookup(D135, {Mats!B:B,Mats!A:A}, 2, 0)</f>
        <v/>
      </c>
      <c r="D135" s="50" t="s">
        <v>364</v>
      </c>
      <c r="E135" s="32">
        <v>6.0</v>
      </c>
      <c r="F135" s="32">
        <f>SUMIF(Tally!$AC:$AC,$D135,Tally!$V:$V)</f>
        <v>6</v>
      </c>
    </row>
    <row r="136" ht="39.75" customHeight="1">
      <c r="A136" s="45">
        <f t="array" ref="A136">vlookup(D136, {MatID!C:C,MatID!A:A}, 2, 0)</f>
        <v>9.18</v>
      </c>
      <c r="B136" s="46" t="str">
        <f t="array" ref="B136">vlookup(D136, {MatID!C:C,MatID!B:B}, 2, 0)</f>
        <v>Mob-Lynel Horn</v>
      </c>
      <c r="C136" s="27" t="str">
        <f t="array" ref="C136">vlookup(D136, {Mats!B:B,Mats!A:A}, 2, 0)</f>
        <v/>
      </c>
      <c r="D136" s="47" t="s">
        <v>365</v>
      </c>
      <c r="E136" s="26">
        <v>9.0</v>
      </c>
      <c r="F136" s="26">
        <f>SUMIF(Tally!$AC:$AC,$D136,Tally!$V:$V)</f>
        <v>9</v>
      </c>
    </row>
    <row r="137" ht="39.75" customHeight="1">
      <c r="A137" s="48">
        <f t="array" ref="A137">vlookup(D137, {MatID!C:C,MatID!A:A}, 2, 0)</f>
        <v>9.18</v>
      </c>
      <c r="B137" s="49" t="str">
        <f t="array" ref="B137">vlookup(D137, {MatID!C:C,MatID!B:B}, 2, 0)</f>
        <v>Mob-Lynel Horn</v>
      </c>
      <c r="C137" s="33" t="str">
        <f t="array" ref="C137">vlookup(D137, {Mats!B:B,Mats!A:A}, 2, 0)</f>
        <v/>
      </c>
      <c r="D137" s="50" t="s">
        <v>366</v>
      </c>
      <c r="E137" s="32">
        <v>9.0</v>
      </c>
      <c r="F137" s="32">
        <f>SUMIF(Tally!$AC:$AC,$D137,Tally!$V:$V)</f>
        <v>9</v>
      </c>
    </row>
    <row r="138" ht="39.75" customHeight="1">
      <c r="A138" s="45">
        <f t="array" ref="A138">vlookup(D138, {MatID!C:C,MatID!A:A}, 2, 0)</f>
        <v>9.19</v>
      </c>
      <c r="B138" s="46" t="str">
        <f t="array" ref="B138">vlookup(D138, {MatID!C:C,MatID!B:B}, 2, 0)</f>
        <v>Mob-Hinox Horn</v>
      </c>
      <c r="C138" s="27" t="str">
        <f t="array" ref="C138">vlookup(D138, {Mats!B:B,Mats!A:A}, 2, 0)</f>
        <v/>
      </c>
      <c r="D138" s="47" t="s">
        <v>367</v>
      </c>
      <c r="E138" s="26">
        <v>9.0</v>
      </c>
      <c r="F138" s="26">
        <f>SUMIF(Tally!$AC:$AC,$D138,Tally!$V:$V)</f>
        <v>9</v>
      </c>
    </row>
    <row r="139" ht="39.75" customHeight="1">
      <c r="A139" s="48">
        <f t="array" ref="A139">vlookup(D139, {MatID!C:C,MatID!A:A}, 2, 0)</f>
        <v>9.2</v>
      </c>
      <c r="B139" s="49" t="str">
        <f t="array" ref="B139">vlookup(D139, {MatID!C:C,MatID!B:B}, 2, 0)</f>
        <v>Mob-Jaw</v>
      </c>
      <c r="C139" s="33" t="str">
        <f t="array" ref="C139">vlookup(D139, {Mats!B:B,Mats!A:A}, 2, 0)</f>
        <v/>
      </c>
      <c r="D139" s="50" t="s">
        <v>368</v>
      </c>
      <c r="E139" s="32">
        <v>9.0</v>
      </c>
      <c r="F139" s="32">
        <f>SUMIF(Tally!$AC:$AC,$D139,Tally!$V:$V)</f>
        <v>9</v>
      </c>
    </row>
    <row r="140" ht="39.75" customHeight="1">
      <c r="A140" s="45">
        <f t="array" ref="A140">vlookup(D140, {MatID!C:C,MatID!A:A}, 2, 0)</f>
        <v>9.21</v>
      </c>
      <c r="B140" s="46" t="str">
        <f t="array" ref="B140">vlookup(D140, {MatID!C:C,MatID!B:B}, 2, 0)</f>
        <v>Mob-Fang</v>
      </c>
      <c r="C140" s="27" t="str">
        <f t="array" ref="C140">vlookup(D140, {Mats!B:B,Mats!A:A}, 2, 0)</f>
        <v/>
      </c>
      <c r="D140" s="47" t="s">
        <v>369</v>
      </c>
      <c r="E140" s="26">
        <v>15.0</v>
      </c>
      <c r="F140" s="26">
        <f>SUMIF(Tally!$AC:$AC,$D140,Tally!$V:$V)</f>
        <v>15</v>
      </c>
    </row>
    <row r="141" ht="39.75" customHeight="1">
      <c r="A141" s="48">
        <f t="array" ref="A141">vlookup(D141, {MatID!C:C,MatID!A:A}, 2, 0)</f>
        <v>9.21</v>
      </c>
      <c r="B141" s="49" t="str">
        <f t="array" ref="B141">vlookup(D141, {MatID!C:C,MatID!B:B}, 2, 0)</f>
        <v>Mob-Fang</v>
      </c>
      <c r="C141" s="33" t="str">
        <f t="array" ref="C141">vlookup(D141, {Mats!B:B,Mats!A:A}, 2, 0)</f>
        <v/>
      </c>
      <c r="D141" s="50" t="s">
        <v>370</v>
      </c>
      <c r="E141" s="32">
        <v>9.0</v>
      </c>
      <c r="F141" s="32">
        <f>SUMIF(Tally!$AC:$AC,$D141,Tally!$V:$V)</f>
        <v>9</v>
      </c>
    </row>
    <row r="142" ht="39.75" customHeight="1">
      <c r="A142" s="45">
        <f t="array" ref="A142">vlookup(D142, {MatID!C:C,MatID!A:A}, 2, 0)</f>
        <v>9.21</v>
      </c>
      <c r="B142" s="46" t="str">
        <f t="array" ref="B142">vlookup(D142, {MatID!C:C,MatID!B:B}, 2, 0)</f>
        <v>Mob-Fang</v>
      </c>
      <c r="C142" s="27" t="str">
        <f t="array" ref="C142">vlookup(D142, {Mats!B:B,Mats!A:A}, 2, 0)</f>
        <v/>
      </c>
      <c r="D142" s="47" t="s">
        <v>371</v>
      </c>
      <c r="E142" s="26">
        <v>9.0</v>
      </c>
      <c r="F142" s="26">
        <f>SUMIF(Tally!$AC:$AC,$D142,Tally!$V:$V)</f>
        <v>9</v>
      </c>
    </row>
    <row r="143" ht="39.75" customHeight="1">
      <c r="A143" s="48">
        <f t="array" ref="A143">vlookup(D143, {MatID!C:C,MatID!A:A}, 2, 0)</f>
        <v>9.22</v>
      </c>
      <c r="B143" s="49" t="str">
        <f t="array" ref="B143">vlookup(D143, {MatID!C:C,MatID!B:B}, 2, 0)</f>
        <v>Mob-Spike</v>
      </c>
      <c r="C143" s="33" t="str">
        <f t="array" ref="C143">vlookup(D143, {Mats!B:B,Mats!A:A}, 2, 0)</f>
        <v/>
      </c>
      <c r="D143" s="50" t="s">
        <v>372</v>
      </c>
      <c r="E143" s="32">
        <v>15.0</v>
      </c>
      <c r="F143" s="32">
        <f>SUMIF(Tally!$AC:$AC,$D143,Tally!$V:$V)</f>
        <v>15</v>
      </c>
    </row>
    <row r="144" ht="39.75" customHeight="1">
      <c r="A144" s="45">
        <f t="array" ref="A144">vlookup(D144, {MatID!C:C,MatID!A:A}, 2, 0)</f>
        <v>9.22</v>
      </c>
      <c r="B144" s="46" t="str">
        <f t="array" ref="B144">vlookup(D144, {MatID!C:C,MatID!B:B}, 2, 0)</f>
        <v>Mob-Spike</v>
      </c>
      <c r="C144" s="27" t="str">
        <f t="array" ref="C144">vlookup(D144, {Mats!B:B,Mats!A:A}, 2, 0)</f>
        <v/>
      </c>
      <c r="D144" s="47" t="s">
        <v>373</v>
      </c>
      <c r="E144" s="26">
        <v>15.0</v>
      </c>
      <c r="F144" s="26">
        <f>SUMIF(Tally!$AC:$AC,$D144,Tally!$V:$V)</f>
        <v>15</v>
      </c>
    </row>
    <row r="145" ht="39.75" customHeight="1">
      <c r="A145" s="48">
        <f t="array" ref="A145">vlookup(D145, {MatID!C:C,MatID!A:A}, 2, 0)</f>
        <v>9.22</v>
      </c>
      <c r="B145" s="49" t="str">
        <f t="array" ref="B145">vlookup(D145, {MatID!C:C,MatID!B:B}, 2, 0)</f>
        <v>Mob-Spike</v>
      </c>
      <c r="C145" s="33" t="str">
        <f t="array" ref="C145">vlookup(D145, {Mats!B:B,Mats!A:A}, 2, 0)</f>
        <v/>
      </c>
      <c r="D145" s="50" t="s">
        <v>374</v>
      </c>
      <c r="E145" s="32">
        <v>15.0</v>
      </c>
      <c r="F145" s="32">
        <f>SUMIF(Tally!$AC:$AC,$D145,Tally!$V:$V)</f>
        <v>15</v>
      </c>
    </row>
    <row r="146" ht="39.75" customHeight="1">
      <c r="A146" s="45">
        <f t="array" ref="A146">vlookup(D146, {MatID!C:C,MatID!A:A}, 2, 0)</f>
        <v>9.23</v>
      </c>
      <c r="B146" s="46" t="str">
        <f t="array" ref="B146">vlookup(D146, {MatID!C:C,MatID!B:B}, 2, 0)</f>
        <v>Mob-Tail</v>
      </c>
      <c r="C146" s="27" t="str">
        <f t="array" ref="C146">vlookup(D146, {Mats!B:B,Mats!A:A}, 2, 0)</f>
        <v/>
      </c>
      <c r="D146" s="47" t="s">
        <v>375</v>
      </c>
      <c r="E146" s="26">
        <v>15.0</v>
      </c>
      <c r="F146" s="26">
        <f>SUMIF(Tally!$AC:$AC,$D146,Tally!$V:$V)</f>
        <v>15</v>
      </c>
    </row>
    <row r="147" ht="39.75" customHeight="1">
      <c r="A147" s="48">
        <f t="array" ref="A147">vlookup(D147, {MatID!C:C,MatID!A:A}, 2, 0)</f>
        <v>9.23</v>
      </c>
      <c r="B147" s="49" t="str">
        <f t="array" ref="B147">vlookup(D147, {MatID!C:C,MatID!B:B}, 2, 0)</f>
        <v>Mob-Tail</v>
      </c>
      <c r="C147" s="33" t="str">
        <f t="array" ref="C147">vlookup(D147, {Mats!B:B,Mats!A:A}, 2, 0)</f>
        <v/>
      </c>
      <c r="D147" s="50" t="s">
        <v>376</v>
      </c>
      <c r="E147" s="32">
        <v>54.0</v>
      </c>
      <c r="F147" s="32">
        <f>SUMIF(Tally!$AC:$AC,$D147,Tally!$V:$V)</f>
        <v>54</v>
      </c>
    </row>
    <row r="148" ht="39.75" customHeight="1">
      <c r="A148" s="45">
        <f t="array" ref="A148">vlookup(D148, {MatID!C:C,MatID!A:A}, 2, 0)</f>
        <v>9.23</v>
      </c>
      <c r="B148" s="46" t="str">
        <f t="array" ref="B148">vlookup(D148, {MatID!C:C,MatID!B:B}, 2, 0)</f>
        <v>Mob-Tail</v>
      </c>
      <c r="C148" s="27" t="str">
        <f t="array" ref="C148">vlookup(D148, {Mats!B:B,Mats!A:A}, 2, 0)</f>
        <v/>
      </c>
      <c r="D148" s="47" t="s">
        <v>377</v>
      </c>
      <c r="E148" s="26">
        <v>48.0</v>
      </c>
      <c r="F148" s="26">
        <f>SUMIF(Tally!$AC:$AC,$D148,Tally!$V:$V)</f>
        <v>48</v>
      </c>
    </row>
    <row r="149" ht="39.75" customHeight="1">
      <c r="A149" s="48">
        <f t="array" ref="A149">vlookup(D149, {MatID!C:C,MatID!A:A}, 2, 0)</f>
        <v>9.23</v>
      </c>
      <c r="B149" s="49" t="str">
        <f t="array" ref="B149">vlookup(D149, {MatID!C:C,MatID!B:B}, 2, 0)</f>
        <v>Mob-Tail</v>
      </c>
      <c r="C149" s="33" t="str">
        <f t="array" ref="C149">vlookup(D149, {Mats!B:B,Mats!A:A}, 2, 0)</f>
        <v/>
      </c>
      <c r="D149" s="50" t="s">
        <v>378</v>
      </c>
      <c r="E149" s="32">
        <v>54.0</v>
      </c>
      <c r="F149" s="32">
        <f>SUMIF(Tally!$AC:$AC,$D149,Tally!$V:$V)</f>
        <v>54</v>
      </c>
    </row>
    <row r="150" ht="39.75" customHeight="1">
      <c r="A150" s="45">
        <f t="array" ref="A150">vlookup(D150, {MatID!C:C,MatID!A:A}, 2, 0)</f>
        <v>9.23</v>
      </c>
      <c r="B150" s="46" t="str">
        <f t="array" ref="B150">vlookup(D150, {MatID!C:C,MatID!B:B}, 2, 0)</f>
        <v>Mob-Tail</v>
      </c>
      <c r="C150" s="27" t="str">
        <f t="array" ref="C150">vlookup(D150, {Mats!B:B,Mats!A:A}, 2, 0)</f>
        <v/>
      </c>
      <c r="D150" s="47" t="s">
        <v>379</v>
      </c>
      <c r="E150" s="26">
        <v>18.0</v>
      </c>
      <c r="F150" s="26">
        <f>SUMIF(Tally!$AC:$AC,$D150,Tally!$V:$V)</f>
        <v>18</v>
      </c>
    </row>
    <row r="151" ht="39.75" customHeight="1">
      <c r="A151" s="48">
        <f t="array" ref="A151">vlookup(D151, {MatID!C:C,MatID!A:A}, 2, 0)</f>
        <v>9.24</v>
      </c>
      <c r="B151" s="49" t="str">
        <f t="array" ref="B151">vlookup(D151, {MatID!C:C,MatID!B:B}, 2, 0)</f>
        <v>Mob-Bone</v>
      </c>
      <c r="C151" s="33" t="str">
        <f t="array" ref="C151">vlookup(D151, {Mats!B:B,Mats!A:A}, 2, 0)</f>
        <v/>
      </c>
      <c r="D151" s="50" t="s">
        <v>380</v>
      </c>
      <c r="E151" s="32">
        <v>50.0</v>
      </c>
      <c r="F151" s="32">
        <f>SUMIF(Tally!$AC:$AC,$D151,Tally!$V:$V)</f>
        <v>50</v>
      </c>
    </row>
    <row r="152" ht="39.75" customHeight="1">
      <c r="A152" s="45">
        <f t="array" ref="A152">vlookup(D152, {MatID!C:C,MatID!A:A}, 2, 0)</f>
        <v>9.25</v>
      </c>
      <c r="B152" s="46" t="str">
        <f t="array" ref="B152">vlookup(D152, {MatID!C:C,MatID!B:B}, 2, 0)</f>
        <v>Mob-Tentacle</v>
      </c>
      <c r="C152" s="27" t="str">
        <f t="array" ref="C152">vlookup(D152, {Mats!B:B,Mats!A:A}, 2, 0)</f>
        <v/>
      </c>
      <c r="D152" s="47" t="s">
        <v>381</v>
      </c>
      <c r="E152" s="26">
        <v>5.0</v>
      </c>
      <c r="F152" s="26">
        <f>SUMIF(Tally!$AC:$AC,$D152,Tally!$V:$V)</f>
        <v>5</v>
      </c>
    </row>
    <row r="153" ht="39.75" customHeight="1">
      <c r="A153" s="48">
        <f t="array" ref="A153">vlookup(D153, {MatID!C:C,MatID!A:A}, 2, 0)</f>
        <v>9.26</v>
      </c>
      <c r="B153" s="49" t="str">
        <f t="array" ref="B153">vlookup(D153, {MatID!C:C,MatID!B:B}, 2, 0)</f>
        <v>Mob-Fang</v>
      </c>
      <c r="C153" s="33" t="str">
        <f t="array" ref="C153">vlookup(D153, {Mats!B:B,Mats!A:A}, 2, 0)</f>
        <v/>
      </c>
      <c r="D153" s="50" t="s">
        <v>382</v>
      </c>
      <c r="E153" s="32">
        <v>12.0</v>
      </c>
      <c r="F153" s="32">
        <f>SUMIF(Tally!$AC:$AC,$D153,Tally!$V:$V)</f>
        <v>12</v>
      </c>
    </row>
    <row r="154" ht="39.75" customHeight="1">
      <c r="A154" s="45">
        <f t="array" ref="A154">vlookup(D154, {MatID!C:C,MatID!A:A}, 2, 0)</f>
        <v>9.26</v>
      </c>
      <c r="B154" s="46" t="str">
        <f t="array" ref="B154">vlookup(D154, {MatID!C:C,MatID!B:B}, 2, 0)</f>
        <v>Mob-Tooth</v>
      </c>
      <c r="C154" s="27" t="str">
        <f t="array" ref="C154">vlookup(D154, {Mats!B:B,Mats!A:A}, 2, 0)</f>
        <v/>
      </c>
      <c r="D154" s="47" t="s">
        <v>383</v>
      </c>
      <c r="E154" s="26">
        <v>15.0</v>
      </c>
      <c r="F154" s="26">
        <f>SUMIF(Tally!$AC:$AC,$D154,Tally!$V:$V)</f>
        <v>15</v>
      </c>
    </row>
    <row r="155" ht="39.75" customHeight="1">
      <c r="A155" s="48">
        <f t="array" ref="A155">vlookup(D155, {MatID!C:C,MatID!A:A}, 2, 0)</f>
        <v>9.26</v>
      </c>
      <c r="B155" s="49" t="str">
        <f t="array" ref="B155">vlookup(D155, {MatID!C:C,MatID!B:B}, 2, 0)</f>
        <v>Mob-Fang</v>
      </c>
      <c r="C155" s="33" t="str">
        <f t="array" ref="C155">vlookup(D155, {Mats!B:B,Mats!A:A}, 2, 0)</f>
        <v/>
      </c>
      <c r="D155" s="50" t="s">
        <v>384</v>
      </c>
      <c r="E155" s="32">
        <v>15.0</v>
      </c>
      <c r="F155" s="32">
        <f>SUMIF(Tally!$AC:$AC,$D155,Tally!$V:$V)</f>
        <v>15</v>
      </c>
    </row>
    <row r="156" ht="39.75" customHeight="1">
      <c r="A156" s="45">
        <f t="array" ref="A156">vlookup(D156, {MatID!C:C,MatID!A:A}, 2, 0)</f>
        <v>9.27</v>
      </c>
      <c r="B156" s="46" t="str">
        <f t="array" ref="B156">vlookup(D156, {MatID!C:C,MatID!B:B}, 2, 0)</f>
        <v>Mob-Fingernail</v>
      </c>
      <c r="C156" s="27" t="str">
        <f t="array" ref="C156">vlookup(D156, {Mats!B:B,Mats!A:A}, 2, 0)</f>
        <v/>
      </c>
      <c r="D156" s="47" t="s">
        <v>385</v>
      </c>
      <c r="E156" s="26">
        <v>9.0</v>
      </c>
      <c r="F156" s="26">
        <f>SUMIF(Tally!$AC:$AC,$D156,Tally!$V:$V)</f>
        <v>9</v>
      </c>
    </row>
    <row r="157" ht="39.75" customHeight="1">
      <c r="A157" s="48">
        <f t="array" ref="A157">vlookup(D157, {MatID!C:C,MatID!A:A}, 2, 0)</f>
        <v>9.27</v>
      </c>
      <c r="B157" s="49" t="str">
        <f t="array" ref="B157">vlookup(D157, {MatID!C:C,MatID!B:B}, 2, 0)</f>
        <v>Mob-Talon</v>
      </c>
      <c r="C157" s="33" t="str">
        <f t="array" ref="C157">vlookup(D157, {Mats!B:B,Mats!A:A}, 2, 0)</f>
        <v/>
      </c>
      <c r="D157" s="50" t="s">
        <v>386</v>
      </c>
      <c r="E157" s="32">
        <v>15.0</v>
      </c>
      <c r="F157" s="32">
        <f>SUMIF(Tally!$AC:$AC,$D157,Tally!$V:$V)</f>
        <v>15</v>
      </c>
    </row>
    <row r="158" ht="39.75" customHeight="1">
      <c r="A158" s="45">
        <f t="array" ref="A158">vlookup(D158, {MatID!C:C,MatID!A:A}, 2, 0)</f>
        <v>9.28</v>
      </c>
      <c r="B158" s="46" t="str">
        <f t="array" ref="B158">vlookup(D158, {MatID!C:C,MatID!B:B}, 2, 0)</f>
        <v>Mob-Scale</v>
      </c>
      <c r="C158" s="27" t="str">
        <f t="array" ref="C158">vlookup(D158, {Mats!B:B,Mats!A:A}, 2, 0)</f>
        <v/>
      </c>
      <c r="D158" s="47" t="s">
        <v>387</v>
      </c>
      <c r="E158" s="26">
        <v>3.0</v>
      </c>
      <c r="F158" s="26">
        <f>SUMIF(Tally!$AC:$AC,$D158,Tally!$V:$V)</f>
        <v>3</v>
      </c>
    </row>
    <row r="159" ht="39.75" customHeight="1">
      <c r="A159" s="48">
        <f t="array" ref="A159">vlookup(D159, {MatID!C:C,MatID!A:A}, 2, 0)</f>
        <v>9.28</v>
      </c>
      <c r="B159" s="49" t="str">
        <f t="array" ref="B159">vlookup(D159, {MatID!C:C,MatID!B:B}, 2, 0)</f>
        <v>Mob-Scale</v>
      </c>
      <c r="C159" s="33" t="str">
        <f t="array" ref="C159">vlookup(D159, {Mats!B:B,Mats!A:A}, 2, 0)</f>
        <v/>
      </c>
      <c r="D159" s="50" t="s">
        <v>388</v>
      </c>
      <c r="E159" s="32">
        <v>3.0</v>
      </c>
      <c r="F159" s="32">
        <f>SUMIF(Tally!$AC:$AC,$D159,Tally!$V:$V)</f>
        <v>3</v>
      </c>
    </row>
    <row r="160" ht="39.75" customHeight="1">
      <c r="A160" s="45">
        <f t="array" ref="A160">vlookup(D160, {MatID!C:C,MatID!A:A}, 2, 0)</f>
        <v>9.28</v>
      </c>
      <c r="B160" s="46" t="str">
        <f t="array" ref="B160">vlookup(D160, {MatID!C:C,MatID!B:B}, 2, 0)</f>
        <v>Mob-Scale</v>
      </c>
      <c r="C160" s="27" t="str">
        <f t="array" ref="C160">vlookup(D160, {Mats!B:B,Mats!A:A}, 2, 0)</f>
        <v/>
      </c>
      <c r="D160" s="47" t="s">
        <v>389</v>
      </c>
      <c r="E160" s="26">
        <v>3.0</v>
      </c>
      <c r="F160" s="26">
        <f>SUMIF(Tally!$AC:$AC,$D160,Tally!$V:$V)</f>
        <v>3</v>
      </c>
    </row>
    <row r="161" ht="39.75" customHeight="1">
      <c r="A161" s="48">
        <f t="array" ref="A161">vlookup(D161, {MatID!C:C,MatID!A:A}, 2, 0)</f>
        <v>9.28</v>
      </c>
      <c r="B161" s="49" t="str">
        <f t="array" ref="B161">vlookup(D161, {MatID!C:C,MatID!B:B}, 2, 0)</f>
        <v>Mob-Scale</v>
      </c>
      <c r="C161" s="33" t="str">
        <f t="array" ref="C161">vlookup(D161, {Mats!B:B,Mats!A:A}, 2, 0)</f>
        <v/>
      </c>
      <c r="D161" s="50" t="s">
        <v>390</v>
      </c>
      <c r="E161" s="32">
        <v>5.0</v>
      </c>
      <c r="F161" s="32">
        <f>SUMIF(Tally!$AC:$AC,$D161,Tally!$V:$V)</f>
        <v>5</v>
      </c>
    </row>
    <row r="162" ht="39.75" customHeight="1">
      <c r="A162" s="45">
        <f t="array" ref="A162">vlookup(D162, {MatID!C:C,MatID!A:A}, 2, 0)</f>
        <v>9.29</v>
      </c>
      <c r="B162" s="46" t="str">
        <f t="array" ref="B162">vlookup(D162, {MatID!C:C,MatID!B:B}, 2, 0)</f>
        <v>Mob-Claw</v>
      </c>
      <c r="C162" s="27" t="str">
        <f t="array" ref="C162">vlookup(D162, {Mats!B:B,Mats!A:A}, 2, 0)</f>
        <v/>
      </c>
      <c r="D162" s="47" t="s">
        <v>391</v>
      </c>
      <c r="E162" s="26">
        <v>3.0</v>
      </c>
      <c r="F162" s="26">
        <f>SUMIF(Tally!$AC:$AC,$D162,Tally!$V:$V)</f>
        <v>3</v>
      </c>
    </row>
    <row r="163" ht="39.75" customHeight="1">
      <c r="A163" s="48">
        <f t="array" ref="A163">vlookup(D163, {MatID!C:C,MatID!A:A}, 2, 0)</f>
        <v>9.29</v>
      </c>
      <c r="B163" s="49" t="str">
        <f t="array" ref="B163">vlookup(D163, {MatID!C:C,MatID!B:B}, 2, 0)</f>
        <v>Mob-Claw</v>
      </c>
      <c r="C163" s="33" t="str">
        <f t="array" ref="C163">vlookup(D163, {Mats!B:B,Mats!A:A}, 2, 0)</f>
        <v/>
      </c>
      <c r="D163" s="50" t="s">
        <v>392</v>
      </c>
      <c r="E163" s="32">
        <v>3.0</v>
      </c>
      <c r="F163" s="32">
        <f>SUMIF(Tally!$AC:$AC,$D163,Tally!$V:$V)</f>
        <v>3</v>
      </c>
    </row>
    <row r="164" ht="39.75" customHeight="1">
      <c r="A164" s="45">
        <f t="array" ref="A164">vlookup(D164, {MatID!C:C,MatID!A:A}, 2, 0)</f>
        <v>9.29</v>
      </c>
      <c r="B164" s="46" t="str">
        <f t="array" ref="B164">vlookup(D164, {MatID!C:C,MatID!B:B}, 2, 0)</f>
        <v>Mob-Talon</v>
      </c>
      <c r="C164" s="27" t="str">
        <f t="array" ref="C164">vlookup(D164, {Mats!B:B,Mats!A:A}, 2, 0)</f>
        <v/>
      </c>
      <c r="D164" s="47" t="s">
        <v>393</v>
      </c>
      <c r="E164" s="26">
        <v>3.0</v>
      </c>
      <c r="F164" s="26">
        <f>SUMIF(Tally!$AC:$AC,$D164,Tally!$V:$V)</f>
        <v>3</v>
      </c>
    </row>
    <row r="165" ht="39.75" customHeight="1">
      <c r="A165" s="48">
        <f t="array" ref="A165">vlookup(D165, {MatID!C:C,MatID!A:A}, 2, 0)</f>
        <v>9.29</v>
      </c>
      <c r="B165" s="49" t="str">
        <f t="array" ref="B165">vlookup(D165, {MatID!C:C,MatID!B:B}, 2, 0)</f>
        <v>Mob-Claw</v>
      </c>
      <c r="C165" s="33" t="str">
        <f t="array" ref="C165">vlookup(D165, {Mats!B:B,Mats!A:A}, 2, 0)</f>
        <v/>
      </c>
      <c r="D165" s="50" t="s">
        <v>394</v>
      </c>
      <c r="E165" s="32">
        <v>3.0</v>
      </c>
      <c r="F165" s="32">
        <f>SUMIF(Tally!$AC:$AC,$D165,Tally!$V:$V)</f>
        <v>3</v>
      </c>
    </row>
    <row r="166" ht="39.75" customHeight="1">
      <c r="A166" s="45">
        <f t="array" ref="A166">vlookup(D166, {MatID!C:C,MatID!A:A}, 2, 0)</f>
        <v>9.3</v>
      </c>
      <c r="B166" s="46" t="str">
        <f t="array" ref="B166">vlookup(D166, {MatID!C:C,MatID!B:B}, 2, 0)</f>
        <v>Mob-Fang</v>
      </c>
      <c r="C166" s="27" t="str">
        <f t="array" ref="C166">vlookup(D166, {Mats!B:B,Mats!A:A}, 2, 0)</f>
        <v/>
      </c>
      <c r="D166" s="47" t="s">
        <v>395</v>
      </c>
      <c r="E166" s="26">
        <v>3.0</v>
      </c>
      <c r="F166" s="26">
        <f>SUMIF(Tally!$AC:$AC,$D166,Tally!$V:$V)</f>
        <v>3</v>
      </c>
    </row>
    <row r="167" ht="39.75" customHeight="1">
      <c r="A167" s="48">
        <f t="array" ref="A167">vlookup(D167, {MatID!C:C,MatID!A:A}, 2, 0)</f>
        <v>9.3</v>
      </c>
      <c r="B167" s="49" t="str">
        <f t="array" ref="B167">vlookup(D167, {MatID!C:C,MatID!B:B}, 2, 0)</f>
        <v>Mob-Fang</v>
      </c>
      <c r="C167" s="33" t="str">
        <f t="array" ref="C167">vlookup(D167, {Mats!B:B,Mats!A:A}, 2, 0)</f>
        <v/>
      </c>
      <c r="D167" s="50" t="s">
        <v>396</v>
      </c>
      <c r="E167" s="32">
        <v>3.0</v>
      </c>
      <c r="F167" s="32">
        <f>SUMIF(Tally!$AC:$AC,$D167,Tally!$V:$V)</f>
        <v>3</v>
      </c>
    </row>
    <row r="168" ht="39.75" customHeight="1">
      <c r="A168" s="45">
        <f t="array" ref="A168">vlookup(D168, {MatID!C:C,MatID!A:A}, 2, 0)</f>
        <v>9.3</v>
      </c>
      <c r="B168" s="46" t="str">
        <f t="array" ref="B168">vlookup(D168, {MatID!C:C,MatID!B:B}, 2, 0)</f>
        <v>Mob-Fang</v>
      </c>
      <c r="C168" s="27" t="str">
        <f t="array" ref="C168">vlookup(D168, {Mats!B:B,Mats!A:A}, 2, 0)</f>
        <v/>
      </c>
      <c r="D168" s="47" t="s">
        <v>397</v>
      </c>
      <c r="E168" s="26">
        <v>3.0</v>
      </c>
      <c r="F168" s="26">
        <f>SUMIF(Tally!$AC:$AC,$D168,Tally!$V:$V)</f>
        <v>3</v>
      </c>
    </row>
    <row r="169" ht="39.75" customHeight="1">
      <c r="A169" s="48">
        <f t="array" ref="A169">vlookup(D169, {MatID!C:C,MatID!A:A}, 2, 0)</f>
        <v>9.3</v>
      </c>
      <c r="B169" s="49" t="str">
        <f t="array" ref="B169">vlookup(D169, {MatID!C:C,MatID!B:B}, 2, 0)</f>
        <v>Mob-Fang</v>
      </c>
      <c r="C169" s="33" t="str">
        <f t="array" ref="C169">vlookup(D169, {Mats!B:B,Mats!A:A}, 2, 0)</f>
        <v/>
      </c>
      <c r="D169" s="50" t="s">
        <v>398</v>
      </c>
      <c r="E169" s="32">
        <v>3.0</v>
      </c>
      <c r="F169" s="32">
        <f>SUMIF(Tally!$AC:$AC,$D169,Tally!$V:$V)</f>
        <v>3</v>
      </c>
    </row>
    <row r="170" ht="39.75" customHeight="1">
      <c r="A170" s="45">
        <f t="array" ref="A170">vlookup(D170, {MatID!C:C,MatID!A:A}, 2, 0)</f>
        <v>10</v>
      </c>
      <c r="B170" s="46" t="str">
        <f t="array" ref="B170">vlookup(D170, {MatID!C:C,MatID!B:B}, 2, 0)</f>
        <v>misc</v>
      </c>
      <c r="C170" s="27" t="str">
        <f t="array" ref="C170">vlookup(D170, {Mats!B:B,Mats!A:A}, 2, 0)</f>
        <v/>
      </c>
      <c r="D170" s="47" t="s">
        <v>399</v>
      </c>
      <c r="E170" s="26">
        <v>90.0</v>
      </c>
      <c r="F170" s="26">
        <f>SUMIF(Tally!$AC:$AC,$D170,Tally!$V:$V)</f>
        <v>90</v>
      </c>
    </row>
    <row r="171" ht="39.75" customHeight="1">
      <c r="A171" s="48">
        <f t="array" ref="A171">vlookup(D171, {MatID!C:C,MatID!A:A}, 2, 0)</f>
        <v>10</v>
      </c>
      <c r="B171" s="49" t="str">
        <f t="array" ref="B171">vlookup(D171, {MatID!C:C,MatID!B:B}, 2, 0)</f>
        <v>misc</v>
      </c>
      <c r="C171" s="33" t="str">
        <f t="array" ref="C171">vlookup(D171, {Mats!B:B,Mats!A:A}, 2, 0)</f>
        <v/>
      </c>
      <c r="D171" s="50" t="s">
        <v>400</v>
      </c>
      <c r="E171" s="32">
        <v>105.0</v>
      </c>
      <c r="F171" s="32">
        <f>SUMIF(Tally!$AC:$AC,$D171,Tally!$V:$V)</f>
        <v>105</v>
      </c>
    </row>
    <row r="172" ht="39.75" customHeight="1">
      <c r="A172" s="45">
        <f t="array" ref="A172">vlookup(D172, {MatID!C:C,MatID!A:A}, 2, 0)</f>
        <v>11</v>
      </c>
      <c r="B172" s="46" t="str">
        <f t="array" ref="B172">vlookup(D172, {MatID!C:C,MatID!B:B}, 2, 0)</f>
        <v>Zonai</v>
      </c>
      <c r="C172" s="27" t="str">
        <f t="array" ref="C172">vlookup(D172, {Mats!B:B,Mats!A:A}, 2, 0)</f>
        <v/>
      </c>
      <c r="D172" s="47" t="s">
        <v>401</v>
      </c>
      <c r="E172" s="26">
        <v>114.0</v>
      </c>
      <c r="F172" s="26">
        <f>SUMIF(Tally!$AC:$AC,$D172,Tally!$V:$V)</f>
        <v>114</v>
      </c>
    </row>
    <row r="173" ht="39.75" customHeight="1">
      <c r="A173" s="48">
        <f t="array" ref="A173">vlookup(D173, {MatID!C:C,MatID!A:A}, 2, 0)</f>
        <v>11</v>
      </c>
      <c r="B173" s="49" t="str">
        <f t="array" ref="B173">vlookup(D173, {MatID!C:C,MatID!B:B}, 2, 0)</f>
        <v>Zonai</v>
      </c>
      <c r="C173" s="33" t="str">
        <f t="array" ref="C173">vlookup(D173, {Mats!B:B,Mats!A:A}, 2, 0)</f>
        <v/>
      </c>
      <c r="D173" s="50" t="s">
        <v>402</v>
      </c>
      <c r="E173" s="32">
        <v>190.0</v>
      </c>
      <c r="F173" s="32">
        <f>SUMIF(Tally!$AC:$AC,$D173,Tally!$V:$V)</f>
        <v>190</v>
      </c>
    </row>
    <row r="174" ht="39.75" customHeight="1">
      <c r="A174" s="45">
        <f t="array" ref="A174">vlookup(D174, {MatID!C:C,MatID!A:A}, 2, 0)</f>
        <v>11</v>
      </c>
      <c r="B174" s="46" t="str">
        <f t="array" ref="B174">vlookup(D174, {MatID!C:C,MatID!B:B}, 2, 0)</f>
        <v>Zonai</v>
      </c>
      <c r="C174" s="27" t="str">
        <f t="array" ref="C174">vlookup(D174, {Mats!B:B,Mats!A:A}, 2, 0)</f>
        <v/>
      </c>
      <c r="D174" s="47" t="s">
        <v>148</v>
      </c>
      <c r="E174" s="26">
        <v>150.0</v>
      </c>
      <c r="F174" s="26">
        <f>SUMIF(Tally!$AC:$AC,$D174,Tally!$V:$V)</f>
        <v>150</v>
      </c>
    </row>
  </sheetData>
  <autoFilter ref="$F$1:$F$174"/>
  <conditionalFormatting sqref="F1:F174">
    <cfRule type="cellIs" dxfId="8" priority="1" operator="equal">
      <formula>0</formula>
    </cfRule>
  </conditionalFormatting>
  <drawing r:id="rId1"/>
</worksheet>
</file>

<file path=xl/worksheets/sheet4.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tabColor rgb="FF4A86E8"/>
    <outlinePr summaryBelow="0" summaryRight="0"/>
  </sheetPr>
  <sheetViews>
    <sheetView workbookViewId="0">
      <pane ySplit="1.0" topLeftCell="A2" activePane="bottomLeft" state="frozen"/>
      <selection activeCell="B3" sqref="B3" pane="bottomLeft"/>
    </sheetView>
  </sheetViews>
  <sheetFormatPr customHeight="1" defaultColWidth="12.63" defaultRowHeight="15.75"/>
  <cols>
    <col customWidth="1" min="1" max="1" width="4.13"/>
    <col customWidth="1" min="2" max="2" width="15.63"/>
    <col customWidth="1" min="3" max="3" width="20.0"/>
    <col customWidth="1" min="4" max="4" width="11.5"/>
    <col customWidth="1" min="5" max="5" width="9.0"/>
    <col customWidth="1" min="6" max="6" width="10.5"/>
    <col customWidth="1" min="7" max="7" width="11.88"/>
    <col customWidth="1" min="8" max="8" width="13.25"/>
  </cols>
  <sheetData>
    <row r="1" ht="24.75" customHeight="1">
      <c r="A1" s="51" t="s">
        <v>37</v>
      </c>
      <c r="B1" s="51" t="s">
        <v>403</v>
      </c>
      <c r="C1" s="51" t="s">
        <v>404</v>
      </c>
      <c r="D1" s="51" t="s">
        <v>405</v>
      </c>
      <c r="E1" s="51" t="s">
        <v>406</v>
      </c>
      <c r="F1" s="51" t="s">
        <v>407</v>
      </c>
      <c r="G1" s="51" t="s">
        <v>408</v>
      </c>
      <c r="H1" s="51" t="s">
        <v>409</v>
      </c>
    </row>
    <row r="2" ht="24.75" customHeight="1">
      <c r="A2" s="51"/>
      <c r="B2" s="51" t="s">
        <v>410</v>
      </c>
      <c r="C2" s="51" t="s">
        <v>61</v>
      </c>
      <c r="D2" s="51">
        <v>3.0</v>
      </c>
      <c r="E2" s="51">
        <v>5.0</v>
      </c>
      <c r="F2" s="51">
        <v>8.0</v>
      </c>
      <c r="G2" s="51">
        <v>12.0</v>
      </c>
      <c r="H2" s="51">
        <v>20.0</v>
      </c>
    </row>
    <row r="3" ht="24.75" customHeight="1">
      <c r="A3" s="51"/>
      <c r="B3" s="51" t="s">
        <v>411</v>
      </c>
      <c r="C3" s="51" t="s">
        <v>64</v>
      </c>
      <c r="D3" s="51">
        <v>3.0</v>
      </c>
      <c r="E3" s="51">
        <v>5.0</v>
      </c>
      <c r="F3" s="51">
        <v>8.0</v>
      </c>
      <c r="G3" s="51">
        <v>12.0</v>
      </c>
      <c r="H3" s="51">
        <v>20.0</v>
      </c>
    </row>
    <row r="4" ht="24.75" customHeight="1">
      <c r="A4" s="51"/>
      <c r="B4" s="51" t="s">
        <v>412</v>
      </c>
      <c r="C4" s="51" t="s">
        <v>63</v>
      </c>
      <c r="D4" s="51">
        <v>3.0</v>
      </c>
      <c r="E4" s="51">
        <v>5.0</v>
      </c>
      <c r="F4" s="51">
        <v>8.0</v>
      </c>
      <c r="G4" s="51">
        <v>12.0</v>
      </c>
      <c r="H4" s="51">
        <v>20.0</v>
      </c>
    </row>
    <row r="5" ht="24.75" customHeight="1">
      <c r="A5" s="51"/>
      <c r="B5" s="51" t="s">
        <v>413</v>
      </c>
      <c r="C5" s="51" t="s">
        <v>202</v>
      </c>
      <c r="D5" s="51">
        <v>4.0</v>
      </c>
      <c r="E5" s="51">
        <v>7.0</v>
      </c>
      <c r="F5" s="51">
        <v>12.0</v>
      </c>
      <c r="G5" s="51">
        <v>18.0</v>
      </c>
      <c r="H5" s="51">
        <v>28.0</v>
      </c>
    </row>
    <row r="6" ht="24.75" customHeight="1">
      <c r="A6" s="51"/>
      <c r="B6" s="51" t="s">
        <v>414</v>
      </c>
      <c r="C6" s="51" t="s">
        <v>204</v>
      </c>
      <c r="D6" s="51">
        <v>4.0</v>
      </c>
      <c r="E6" s="51">
        <v>7.0</v>
      </c>
      <c r="F6" s="51">
        <v>12.0</v>
      </c>
      <c r="G6" s="51">
        <v>18.0</v>
      </c>
      <c r="H6" s="51">
        <v>28.0</v>
      </c>
    </row>
    <row r="7" ht="24.75" customHeight="1">
      <c r="A7" s="51"/>
      <c r="B7" s="51" t="s">
        <v>415</v>
      </c>
      <c r="C7" s="51" t="s">
        <v>203</v>
      </c>
      <c r="D7" s="51">
        <v>4.0</v>
      </c>
      <c r="E7" s="51">
        <v>7.0</v>
      </c>
      <c r="F7" s="51">
        <v>12.0</v>
      </c>
      <c r="G7" s="51">
        <v>18.0</v>
      </c>
      <c r="H7" s="51">
        <v>28.0</v>
      </c>
    </row>
    <row r="8" ht="24.75" customHeight="1">
      <c r="A8" s="51"/>
      <c r="B8" s="51" t="s">
        <v>416</v>
      </c>
      <c r="C8" s="51" t="s">
        <v>78</v>
      </c>
      <c r="D8" s="51">
        <v>3.0</v>
      </c>
      <c r="E8" s="51">
        <v>5.0</v>
      </c>
      <c r="F8" s="51">
        <v>8.0</v>
      </c>
      <c r="G8" s="51">
        <v>12.0</v>
      </c>
      <c r="H8" s="51">
        <v>20.0</v>
      </c>
    </row>
    <row r="9" ht="24.75" customHeight="1">
      <c r="A9" s="51"/>
      <c r="B9" s="51" t="s">
        <v>417</v>
      </c>
      <c r="C9" s="51" t="s">
        <v>80</v>
      </c>
      <c r="D9" s="51">
        <v>3.0</v>
      </c>
      <c r="E9" s="51">
        <v>5.0</v>
      </c>
      <c r="F9" s="51">
        <v>8.0</v>
      </c>
      <c r="G9" s="51">
        <v>12.0</v>
      </c>
      <c r="H9" s="51">
        <v>20.0</v>
      </c>
    </row>
    <row r="10" ht="24.75" customHeight="1">
      <c r="A10" s="51"/>
      <c r="B10" s="51" t="s">
        <v>418</v>
      </c>
      <c r="C10" s="51" t="s">
        <v>79</v>
      </c>
      <c r="D10" s="51">
        <v>3.0</v>
      </c>
      <c r="E10" s="51">
        <v>5.0</v>
      </c>
      <c r="F10" s="51">
        <v>8.0</v>
      </c>
      <c r="G10" s="51">
        <v>12.0</v>
      </c>
      <c r="H10" s="51">
        <v>20.0</v>
      </c>
    </row>
    <row r="11" ht="24.75" customHeight="1">
      <c r="A11" s="51"/>
      <c r="B11" s="51" t="s">
        <v>419</v>
      </c>
      <c r="C11" s="51" t="s">
        <v>82</v>
      </c>
      <c r="D11" s="51">
        <v>3.0</v>
      </c>
      <c r="E11" s="51">
        <v>5.0</v>
      </c>
      <c r="F11" s="51">
        <v>8.0</v>
      </c>
      <c r="G11" s="51">
        <v>12.0</v>
      </c>
      <c r="H11" s="51">
        <v>20.0</v>
      </c>
    </row>
    <row r="12" ht="24.75" customHeight="1">
      <c r="A12" s="51"/>
      <c r="B12" s="51" t="s">
        <v>420</v>
      </c>
      <c r="C12" s="51" t="s">
        <v>84</v>
      </c>
      <c r="D12" s="51">
        <v>3.0</v>
      </c>
      <c r="E12" s="51">
        <v>5.0</v>
      </c>
      <c r="F12" s="51">
        <v>8.0</v>
      </c>
      <c r="G12" s="51">
        <v>12.0</v>
      </c>
      <c r="H12" s="51">
        <v>20.0</v>
      </c>
    </row>
    <row r="13" ht="24.75" customHeight="1">
      <c r="A13" s="51"/>
      <c r="B13" s="51" t="s">
        <v>421</v>
      </c>
      <c r="C13" s="51" t="s">
        <v>83</v>
      </c>
      <c r="D13" s="51">
        <v>3.0</v>
      </c>
      <c r="E13" s="51">
        <v>5.0</v>
      </c>
      <c r="F13" s="51">
        <v>8.0</v>
      </c>
      <c r="G13" s="51">
        <v>12.0</v>
      </c>
      <c r="H13" s="51">
        <v>20.0</v>
      </c>
    </row>
    <row r="14" ht="24.75" customHeight="1">
      <c r="A14" s="51"/>
      <c r="B14" s="51" t="s">
        <v>422</v>
      </c>
      <c r="C14" s="51" t="s">
        <v>70</v>
      </c>
      <c r="D14" s="51">
        <v>3.0</v>
      </c>
      <c r="E14" s="51">
        <v>5.0</v>
      </c>
      <c r="F14" s="51">
        <v>8.0</v>
      </c>
      <c r="G14" s="51">
        <v>12.0</v>
      </c>
      <c r="H14" s="51">
        <v>20.0</v>
      </c>
    </row>
    <row r="15" ht="24.75" customHeight="1">
      <c r="A15" s="51"/>
      <c r="B15" s="51" t="s">
        <v>423</v>
      </c>
      <c r="C15" s="51" t="s">
        <v>72</v>
      </c>
      <c r="D15" s="51">
        <v>3.0</v>
      </c>
      <c r="E15" s="51">
        <v>5.0</v>
      </c>
      <c r="F15" s="51">
        <v>8.0</v>
      </c>
      <c r="G15" s="51">
        <v>12.0</v>
      </c>
      <c r="H15" s="51">
        <v>20.0</v>
      </c>
    </row>
    <row r="16" ht="24.75" customHeight="1">
      <c r="A16" s="51"/>
      <c r="B16" s="51" t="s">
        <v>424</v>
      </c>
      <c r="C16" s="51" t="s">
        <v>71</v>
      </c>
      <c r="D16" s="51">
        <v>3.0</v>
      </c>
      <c r="E16" s="51">
        <v>5.0</v>
      </c>
      <c r="F16" s="51">
        <v>8.0</v>
      </c>
      <c r="G16" s="51">
        <v>12.0</v>
      </c>
      <c r="H16" s="51">
        <v>20.0</v>
      </c>
    </row>
    <row r="17" ht="24.75" customHeight="1">
      <c r="A17" s="51"/>
      <c r="B17" s="51" t="s">
        <v>425</v>
      </c>
      <c r="C17" s="51" t="s">
        <v>74</v>
      </c>
      <c r="D17" s="51">
        <v>3.0</v>
      </c>
      <c r="E17" s="51">
        <v>5.0</v>
      </c>
      <c r="F17" s="51">
        <v>8.0</v>
      </c>
      <c r="G17" s="51">
        <v>12.0</v>
      </c>
      <c r="H17" s="51">
        <v>20.0</v>
      </c>
    </row>
    <row r="18" ht="24.75" customHeight="1">
      <c r="A18" s="51"/>
      <c r="B18" s="51" t="s">
        <v>426</v>
      </c>
      <c r="C18" s="51" t="s">
        <v>76</v>
      </c>
      <c r="D18" s="51">
        <v>3.0</v>
      </c>
      <c r="E18" s="51">
        <v>5.0</v>
      </c>
      <c r="F18" s="51">
        <v>8.0</v>
      </c>
      <c r="G18" s="51">
        <v>12.0</v>
      </c>
      <c r="H18" s="51">
        <v>20.0</v>
      </c>
    </row>
    <row r="19" ht="24.75" customHeight="1">
      <c r="A19" s="51"/>
      <c r="B19" s="51" t="s">
        <v>427</v>
      </c>
      <c r="C19" s="51" t="s">
        <v>75</v>
      </c>
      <c r="D19" s="51">
        <v>3.0</v>
      </c>
      <c r="E19" s="51">
        <v>5.0</v>
      </c>
      <c r="F19" s="51">
        <v>8.0</v>
      </c>
      <c r="G19" s="51">
        <v>12.0</v>
      </c>
      <c r="H19" s="51">
        <v>20.0</v>
      </c>
    </row>
    <row r="20" ht="24.75" customHeight="1">
      <c r="A20" s="51"/>
      <c r="B20" s="51" t="s">
        <v>428</v>
      </c>
      <c r="C20" s="51" t="s">
        <v>90</v>
      </c>
      <c r="D20" s="51">
        <v>2.0</v>
      </c>
      <c r="E20" s="51">
        <v>4.0</v>
      </c>
      <c r="F20" s="51">
        <v>6.0</v>
      </c>
      <c r="G20" s="51">
        <v>9.0</v>
      </c>
      <c r="H20" s="51">
        <v>16.0</v>
      </c>
    </row>
    <row r="21" ht="24.75" customHeight="1">
      <c r="A21" s="51"/>
      <c r="B21" s="51" t="s">
        <v>429</v>
      </c>
      <c r="C21" s="51" t="s">
        <v>92</v>
      </c>
      <c r="D21" s="51">
        <v>2.0</v>
      </c>
      <c r="E21" s="51">
        <v>4.0</v>
      </c>
      <c r="F21" s="51">
        <v>6.0</v>
      </c>
      <c r="G21" s="51">
        <v>9.0</v>
      </c>
      <c r="H21" s="51">
        <v>16.0</v>
      </c>
    </row>
    <row r="22" ht="24.75" customHeight="1">
      <c r="A22" s="51"/>
      <c r="B22" s="51" t="s">
        <v>430</v>
      </c>
      <c r="C22" s="51" t="s">
        <v>91</v>
      </c>
      <c r="D22" s="51">
        <v>2.0</v>
      </c>
      <c r="E22" s="51">
        <v>4.0</v>
      </c>
      <c r="F22" s="51">
        <v>6.0</v>
      </c>
      <c r="G22" s="51">
        <v>9.0</v>
      </c>
      <c r="H22" s="51">
        <v>16.0</v>
      </c>
    </row>
    <row r="23" ht="24.75" customHeight="1">
      <c r="A23" s="51"/>
      <c r="B23" s="51" t="s">
        <v>431</v>
      </c>
      <c r="C23" s="51" t="s">
        <v>94</v>
      </c>
      <c r="D23" s="51">
        <v>3.0</v>
      </c>
      <c r="E23" s="51">
        <v>5.0</v>
      </c>
      <c r="F23" s="51">
        <v>8.0</v>
      </c>
      <c r="G23" s="51">
        <v>12.0</v>
      </c>
      <c r="H23" s="51">
        <v>20.0</v>
      </c>
    </row>
    <row r="24" ht="24.75" customHeight="1">
      <c r="A24" s="51"/>
      <c r="B24" s="51" t="s">
        <v>432</v>
      </c>
      <c r="C24" s="51" t="s">
        <v>95</v>
      </c>
      <c r="D24" s="51">
        <v>3.0</v>
      </c>
      <c r="E24" s="51">
        <v>5.0</v>
      </c>
      <c r="F24" s="51">
        <v>8.0</v>
      </c>
      <c r="G24" s="51">
        <v>12.0</v>
      </c>
      <c r="H24" s="51">
        <v>20.0</v>
      </c>
    </row>
    <row r="25" ht="24.75" customHeight="1">
      <c r="A25" s="51"/>
      <c r="B25" s="51" t="s">
        <v>433</v>
      </c>
      <c r="C25" s="51" t="s">
        <v>93</v>
      </c>
      <c r="D25" s="51">
        <v>3.0</v>
      </c>
      <c r="E25" s="51">
        <v>5.0</v>
      </c>
      <c r="F25" s="51">
        <v>8.0</v>
      </c>
      <c r="G25" s="51">
        <v>12.0</v>
      </c>
      <c r="H25" s="51">
        <v>20.0</v>
      </c>
    </row>
    <row r="26" ht="24.75" customHeight="1">
      <c r="A26" s="51"/>
      <c r="B26" s="51" t="s">
        <v>434</v>
      </c>
      <c r="C26" s="51" t="s">
        <v>101</v>
      </c>
      <c r="D26" s="51">
        <v>3.0</v>
      </c>
      <c r="E26" s="51">
        <v>5.0</v>
      </c>
      <c r="F26" s="51">
        <v>8.0</v>
      </c>
      <c r="G26" s="51">
        <v>12.0</v>
      </c>
      <c r="H26" s="51">
        <v>20.0</v>
      </c>
    </row>
    <row r="27" ht="24.75" customHeight="1">
      <c r="A27" s="51"/>
      <c r="B27" s="51" t="s">
        <v>435</v>
      </c>
      <c r="C27" s="51" t="s">
        <v>103</v>
      </c>
      <c r="D27" s="51">
        <v>3.0</v>
      </c>
      <c r="E27" s="51">
        <v>5.0</v>
      </c>
      <c r="F27" s="51">
        <v>8.0</v>
      </c>
      <c r="G27" s="51">
        <v>12.0</v>
      </c>
      <c r="H27" s="51">
        <v>20.0</v>
      </c>
    </row>
    <row r="28" ht="24.75" customHeight="1">
      <c r="A28" s="51"/>
      <c r="B28" s="51" t="s">
        <v>436</v>
      </c>
      <c r="C28" s="51" t="s">
        <v>102</v>
      </c>
      <c r="D28" s="51">
        <v>3.0</v>
      </c>
      <c r="E28" s="51">
        <v>5.0</v>
      </c>
      <c r="F28" s="51">
        <v>8.0</v>
      </c>
      <c r="G28" s="51">
        <v>12.0</v>
      </c>
      <c r="H28" s="51">
        <v>20.0</v>
      </c>
    </row>
    <row r="29" ht="24.75" customHeight="1">
      <c r="A29" s="51"/>
      <c r="B29" s="51" t="s">
        <v>437</v>
      </c>
      <c r="C29" s="51" t="s">
        <v>66</v>
      </c>
      <c r="D29" s="51">
        <v>4.0</v>
      </c>
      <c r="E29" s="51">
        <v>7.0</v>
      </c>
      <c r="F29" s="51">
        <v>12.0</v>
      </c>
      <c r="G29" s="51">
        <v>18.0</v>
      </c>
      <c r="H29" s="51">
        <v>28.0</v>
      </c>
    </row>
    <row r="30" ht="24.75" customHeight="1">
      <c r="A30" s="51"/>
      <c r="B30" s="51" t="s">
        <v>438</v>
      </c>
      <c r="C30" s="51" t="s">
        <v>68</v>
      </c>
      <c r="D30" s="51">
        <v>4.0</v>
      </c>
      <c r="E30" s="51">
        <v>7.0</v>
      </c>
      <c r="F30" s="51">
        <v>12.0</v>
      </c>
      <c r="G30" s="51">
        <v>18.0</v>
      </c>
      <c r="H30" s="51">
        <v>28.0</v>
      </c>
    </row>
    <row r="31" ht="24.75" customHeight="1">
      <c r="A31" s="51"/>
      <c r="B31" s="51" t="s">
        <v>439</v>
      </c>
      <c r="C31" s="51" t="s">
        <v>67</v>
      </c>
      <c r="D31" s="51">
        <v>4.0</v>
      </c>
      <c r="E31" s="51">
        <v>7.0</v>
      </c>
      <c r="F31" s="51">
        <v>12.0</v>
      </c>
      <c r="G31" s="51">
        <v>18.0</v>
      </c>
      <c r="H31" s="51">
        <v>28.0</v>
      </c>
    </row>
    <row r="32" ht="24.75" customHeight="1">
      <c r="A32" s="51"/>
      <c r="B32" s="51" t="s">
        <v>440</v>
      </c>
      <c r="C32" s="51" t="s">
        <v>163</v>
      </c>
      <c r="D32" s="51">
        <v>3.0</v>
      </c>
      <c r="E32" s="52" t="s">
        <v>55</v>
      </c>
      <c r="F32" s="52" t="s">
        <v>55</v>
      </c>
      <c r="G32" s="52" t="s">
        <v>55</v>
      </c>
      <c r="H32" s="52" t="s">
        <v>55</v>
      </c>
    </row>
    <row r="33" ht="24.75" customHeight="1">
      <c r="A33" s="51"/>
      <c r="B33" s="51" t="s">
        <v>441</v>
      </c>
      <c r="C33" s="51" t="s">
        <v>153</v>
      </c>
      <c r="D33" s="51">
        <v>4.0</v>
      </c>
      <c r="E33" s="51">
        <v>7.0</v>
      </c>
      <c r="F33" s="51">
        <v>12.0</v>
      </c>
      <c r="G33" s="51">
        <v>18.0</v>
      </c>
      <c r="H33" s="51">
        <v>28.0</v>
      </c>
    </row>
    <row r="34" ht="24.75" customHeight="1">
      <c r="A34" s="51"/>
      <c r="B34" s="51" t="s">
        <v>442</v>
      </c>
      <c r="C34" s="51" t="s">
        <v>154</v>
      </c>
      <c r="D34" s="51">
        <v>3.0</v>
      </c>
      <c r="E34" s="51">
        <v>5.0</v>
      </c>
      <c r="F34" s="51">
        <v>8.0</v>
      </c>
      <c r="G34" s="51">
        <v>12.0</v>
      </c>
      <c r="H34" s="51">
        <v>20.0</v>
      </c>
    </row>
    <row r="35" ht="24.75" customHeight="1">
      <c r="A35" s="51"/>
      <c r="B35" s="51" t="s">
        <v>443</v>
      </c>
      <c r="C35" s="51" t="s">
        <v>155</v>
      </c>
      <c r="D35" s="51">
        <v>3.0</v>
      </c>
      <c r="E35" s="51">
        <v>5.0</v>
      </c>
      <c r="F35" s="51">
        <v>8.0</v>
      </c>
      <c r="G35" s="51">
        <v>12.0</v>
      </c>
      <c r="H35" s="51">
        <v>20.0</v>
      </c>
    </row>
    <row r="36" ht="24.75" customHeight="1">
      <c r="A36" s="51"/>
      <c r="B36" s="51" t="s">
        <v>444</v>
      </c>
      <c r="C36" s="51" t="s">
        <v>156</v>
      </c>
      <c r="D36" s="51">
        <v>3.0</v>
      </c>
      <c r="E36" s="51">
        <v>5.0</v>
      </c>
      <c r="F36" s="51">
        <v>8.0</v>
      </c>
      <c r="G36" s="51">
        <v>12.0</v>
      </c>
      <c r="H36" s="51">
        <v>18.0</v>
      </c>
    </row>
    <row r="37" ht="24.75" customHeight="1">
      <c r="A37" s="51"/>
      <c r="B37" s="51" t="s">
        <v>445</v>
      </c>
      <c r="C37" s="51" t="s">
        <v>157</v>
      </c>
      <c r="D37" s="51">
        <v>3.0</v>
      </c>
      <c r="E37" s="51">
        <v>5.0</v>
      </c>
      <c r="F37" s="51">
        <v>8.0</v>
      </c>
      <c r="G37" s="51">
        <v>12.0</v>
      </c>
      <c r="H37" s="51">
        <v>20.0</v>
      </c>
    </row>
    <row r="38" ht="24.75" customHeight="1">
      <c r="A38" s="51"/>
      <c r="B38" s="51" t="s">
        <v>446</v>
      </c>
      <c r="C38" s="51" t="s">
        <v>152</v>
      </c>
      <c r="D38" s="51">
        <v>4.0</v>
      </c>
      <c r="E38" s="51">
        <v>7.0</v>
      </c>
      <c r="F38" s="51">
        <v>12.0</v>
      </c>
      <c r="G38" s="51">
        <v>18.0</v>
      </c>
      <c r="H38" s="51">
        <v>28.0</v>
      </c>
    </row>
    <row r="39" ht="24.75" customHeight="1">
      <c r="A39" s="51"/>
      <c r="B39" s="51" t="s">
        <v>447</v>
      </c>
      <c r="C39" s="51" t="s">
        <v>167</v>
      </c>
      <c r="D39" s="51">
        <v>3.0</v>
      </c>
      <c r="E39" s="52" t="s">
        <v>55</v>
      </c>
      <c r="F39" s="52" t="s">
        <v>55</v>
      </c>
      <c r="G39" s="52" t="s">
        <v>55</v>
      </c>
      <c r="H39" s="52" t="s">
        <v>55</v>
      </c>
    </row>
    <row r="40" ht="24.75" customHeight="1">
      <c r="A40" s="51"/>
      <c r="B40" s="51" t="s">
        <v>448</v>
      </c>
      <c r="C40" s="51" t="s">
        <v>86</v>
      </c>
      <c r="D40" s="51">
        <v>3.0</v>
      </c>
      <c r="E40" s="51">
        <v>5.0</v>
      </c>
      <c r="F40" s="51">
        <v>8.0</v>
      </c>
      <c r="G40" s="51">
        <v>12.0</v>
      </c>
      <c r="H40" s="51">
        <v>20.0</v>
      </c>
    </row>
    <row r="41" ht="24.75" customHeight="1">
      <c r="A41" s="51"/>
      <c r="B41" s="51" t="s">
        <v>449</v>
      </c>
      <c r="C41" s="51" t="s">
        <v>88</v>
      </c>
      <c r="D41" s="51">
        <v>3.0</v>
      </c>
      <c r="E41" s="51">
        <v>5.0</v>
      </c>
      <c r="F41" s="51">
        <v>8.0</v>
      </c>
      <c r="G41" s="51">
        <v>12.0</v>
      </c>
      <c r="H41" s="51">
        <v>20.0</v>
      </c>
    </row>
    <row r="42" ht="24.75" customHeight="1">
      <c r="A42" s="51"/>
      <c r="B42" s="51" t="s">
        <v>450</v>
      </c>
      <c r="C42" s="51" t="s">
        <v>87</v>
      </c>
      <c r="D42" s="51">
        <v>3.0</v>
      </c>
      <c r="E42" s="51">
        <v>5.0</v>
      </c>
      <c r="F42" s="51">
        <v>8.0</v>
      </c>
      <c r="G42" s="51">
        <v>12.0</v>
      </c>
      <c r="H42" s="51">
        <v>20.0</v>
      </c>
    </row>
    <row r="43" ht="24.75" customHeight="1">
      <c r="A43" s="51"/>
      <c r="B43" s="51" t="s">
        <v>451</v>
      </c>
      <c r="C43" s="51" t="s">
        <v>97</v>
      </c>
      <c r="D43" s="51">
        <v>3.0</v>
      </c>
      <c r="E43" s="51">
        <v>5.0</v>
      </c>
      <c r="F43" s="51">
        <v>8.0</v>
      </c>
      <c r="G43" s="51">
        <v>12.0</v>
      </c>
      <c r="H43" s="51">
        <v>20.0</v>
      </c>
    </row>
    <row r="44" ht="24.75" customHeight="1">
      <c r="A44" s="51"/>
      <c r="B44" s="51" t="s">
        <v>452</v>
      </c>
      <c r="C44" s="51" t="s">
        <v>99</v>
      </c>
      <c r="D44" s="51">
        <v>3.0</v>
      </c>
      <c r="E44" s="51">
        <v>5.0</v>
      </c>
      <c r="F44" s="51">
        <v>8.0</v>
      </c>
      <c r="G44" s="51">
        <v>12.0</v>
      </c>
      <c r="H44" s="51">
        <v>20.0</v>
      </c>
    </row>
    <row r="45" ht="24.75" customHeight="1">
      <c r="A45" s="51"/>
      <c r="B45" s="51" t="s">
        <v>453</v>
      </c>
      <c r="C45" s="51" t="s">
        <v>98</v>
      </c>
      <c r="D45" s="51">
        <v>3.0</v>
      </c>
      <c r="E45" s="51">
        <v>5.0</v>
      </c>
      <c r="F45" s="51">
        <v>8.0</v>
      </c>
      <c r="G45" s="51">
        <v>12.0</v>
      </c>
      <c r="H45" s="51">
        <v>20.0</v>
      </c>
    </row>
    <row r="46" ht="24.75" customHeight="1">
      <c r="A46" s="51"/>
      <c r="B46" s="51" t="s">
        <v>454</v>
      </c>
      <c r="C46" s="51" t="s">
        <v>161</v>
      </c>
      <c r="D46" s="51">
        <v>3.0</v>
      </c>
      <c r="E46" s="51">
        <v>5.0</v>
      </c>
      <c r="F46" s="51">
        <v>8.0</v>
      </c>
      <c r="G46" s="51">
        <v>12.0</v>
      </c>
      <c r="H46" s="51">
        <v>20.0</v>
      </c>
    </row>
    <row r="47" ht="24.75" customHeight="1">
      <c r="A47" s="51"/>
      <c r="B47" s="51" t="s">
        <v>455</v>
      </c>
      <c r="C47" s="51" t="s">
        <v>165</v>
      </c>
      <c r="D47" s="51">
        <v>3.0</v>
      </c>
      <c r="E47" s="52" t="s">
        <v>55</v>
      </c>
      <c r="F47" s="52" t="s">
        <v>55</v>
      </c>
      <c r="G47" s="52" t="s">
        <v>55</v>
      </c>
      <c r="H47" s="52" t="s">
        <v>55</v>
      </c>
    </row>
    <row r="48" ht="24.75" customHeight="1">
      <c r="A48" s="51"/>
      <c r="B48" s="51" t="s">
        <v>456</v>
      </c>
      <c r="C48" s="51" t="s">
        <v>166</v>
      </c>
      <c r="D48" s="51">
        <v>3.0</v>
      </c>
      <c r="E48" s="52" t="s">
        <v>55</v>
      </c>
      <c r="F48" s="52" t="s">
        <v>55</v>
      </c>
      <c r="G48" s="52" t="s">
        <v>55</v>
      </c>
      <c r="H48" s="52" t="s">
        <v>55</v>
      </c>
    </row>
    <row r="49" ht="24.75" customHeight="1">
      <c r="A49" s="51"/>
      <c r="B49" s="51" t="s">
        <v>457</v>
      </c>
      <c r="C49" s="51" t="s">
        <v>113</v>
      </c>
      <c r="D49" s="51">
        <v>2.0</v>
      </c>
      <c r="E49" s="51">
        <v>4.0</v>
      </c>
      <c r="F49" s="51">
        <v>6.0</v>
      </c>
      <c r="G49" s="51">
        <v>9.0</v>
      </c>
      <c r="H49" s="51">
        <v>16.0</v>
      </c>
    </row>
    <row r="50" ht="24.75" customHeight="1">
      <c r="A50" s="51"/>
      <c r="B50" s="51" t="s">
        <v>458</v>
      </c>
      <c r="C50" s="51" t="s">
        <v>115</v>
      </c>
      <c r="D50" s="51">
        <v>2.0</v>
      </c>
      <c r="E50" s="51">
        <v>4.0</v>
      </c>
      <c r="F50" s="51">
        <v>6.0</v>
      </c>
      <c r="G50" s="51">
        <v>9.0</v>
      </c>
      <c r="H50" s="51">
        <v>16.0</v>
      </c>
    </row>
    <row r="51" ht="24.75" customHeight="1">
      <c r="A51" s="51"/>
      <c r="B51" s="51" t="s">
        <v>459</v>
      </c>
      <c r="C51" s="51" t="s">
        <v>114</v>
      </c>
      <c r="D51" s="51">
        <v>2.0</v>
      </c>
      <c r="E51" s="51">
        <v>4.0</v>
      </c>
      <c r="F51" s="51">
        <v>6.0</v>
      </c>
      <c r="G51" s="51">
        <v>9.0</v>
      </c>
      <c r="H51" s="51">
        <v>16.0</v>
      </c>
    </row>
    <row r="52" ht="24.75" customHeight="1">
      <c r="A52" s="51"/>
      <c r="B52" s="51" t="s">
        <v>460</v>
      </c>
      <c r="C52" s="51" t="s">
        <v>227</v>
      </c>
      <c r="D52" s="51">
        <v>12.0</v>
      </c>
      <c r="E52" s="51">
        <v>21.0</v>
      </c>
      <c r="F52" s="51">
        <v>36.0</v>
      </c>
      <c r="G52" s="51">
        <v>54.0</v>
      </c>
      <c r="H52" s="51">
        <v>84.0</v>
      </c>
    </row>
    <row r="53" ht="24.75" customHeight="1">
      <c r="A53" s="51"/>
      <c r="B53" s="51" t="s">
        <v>461</v>
      </c>
      <c r="C53" s="51"/>
      <c r="D53" s="51">
        <v>0.0</v>
      </c>
      <c r="E53" s="51">
        <v>0.0</v>
      </c>
      <c r="F53" s="51">
        <v>0.0</v>
      </c>
      <c r="G53" s="51">
        <v>0.0</v>
      </c>
      <c r="H53" s="51">
        <v>0.0</v>
      </c>
    </row>
    <row r="54" ht="24.75" customHeight="1">
      <c r="A54" s="51"/>
      <c r="B54" s="51" t="s">
        <v>462</v>
      </c>
      <c r="C54" s="51"/>
      <c r="D54" s="51">
        <v>0.0</v>
      </c>
      <c r="E54" s="51">
        <v>0.0</v>
      </c>
      <c r="F54" s="51">
        <v>0.0</v>
      </c>
      <c r="G54" s="51">
        <v>0.0</v>
      </c>
      <c r="H54" s="51">
        <v>0.0</v>
      </c>
    </row>
    <row r="55" ht="24.75" customHeight="1">
      <c r="A55" s="51"/>
      <c r="B55" s="51" t="s">
        <v>463</v>
      </c>
      <c r="C55" s="51" t="s">
        <v>57</v>
      </c>
      <c r="D55" s="51">
        <v>1.0</v>
      </c>
      <c r="E55" s="52" t="s">
        <v>55</v>
      </c>
      <c r="F55" s="52" t="s">
        <v>55</v>
      </c>
      <c r="G55" s="52" t="s">
        <v>55</v>
      </c>
      <c r="H55" s="52" t="s">
        <v>55</v>
      </c>
    </row>
    <row r="56" ht="24.75" customHeight="1">
      <c r="A56" s="51"/>
      <c r="B56" s="51" t="s">
        <v>464</v>
      </c>
      <c r="C56" s="51" t="s">
        <v>54</v>
      </c>
      <c r="D56" s="51">
        <v>1.0</v>
      </c>
      <c r="E56" s="52" t="s">
        <v>55</v>
      </c>
      <c r="F56" s="52" t="s">
        <v>55</v>
      </c>
      <c r="G56" s="52" t="s">
        <v>55</v>
      </c>
      <c r="H56" s="52" t="s">
        <v>55</v>
      </c>
    </row>
    <row r="57" ht="24.75" customHeight="1">
      <c r="A57" s="51"/>
      <c r="B57" s="51" t="s">
        <v>465</v>
      </c>
      <c r="C57" s="51" t="s">
        <v>58</v>
      </c>
      <c r="D57" s="51">
        <v>2.0</v>
      </c>
      <c r="E57" s="52" t="s">
        <v>55</v>
      </c>
      <c r="F57" s="52" t="s">
        <v>55</v>
      </c>
      <c r="G57" s="52" t="s">
        <v>55</v>
      </c>
      <c r="H57" s="52" t="s">
        <v>55</v>
      </c>
    </row>
    <row r="58" ht="24.75" customHeight="1">
      <c r="A58" s="51"/>
      <c r="B58" s="51" t="s">
        <v>466</v>
      </c>
      <c r="C58" s="51" t="s">
        <v>109</v>
      </c>
      <c r="D58" s="51">
        <v>3.0</v>
      </c>
      <c r="E58" s="51">
        <v>5.0</v>
      </c>
      <c r="F58" s="51">
        <v>8.0</v>
      </c>
      <c r="G58" s="51">
        <v>12.0</v>
      </c>
      <c r="H58" s="51">
        <v>20.0</v>
      </c>
    </row>
    <row r="59" ht="24.75" customHeight="1">
      <c r="A59" s="51"/>
      <c r="B59" s="51" t="s">
        <v>467</v>
      </c>
      <c r="C59" s="51" t="s">
        <v>111</v>
      </c>
      <c r="D59" s="51">
        <v>3.0</v>
      </c>
      <c r="E59" s="51">
        <v>5.0</v>
      </c>
      <c r="F59" s="51">
        <v>8.0</v>
      </c>
      <c r="G59" s="51">
        <v>12.0</v>
      </c>
      <c r="H59" s="51">
        <v>20.0</v>
      </c>
    </row>
    <row r="60" ht="24.75" customHeight="1">
      <c r="A60" s="51"/>
      <c r="B60" s="51" t="s">
        <v>468</v>
      </c>
      <c r="C60" s="51" t="s">
        <v>110</v>
      </c>
      <c r="D60" s="51">
        <v>3.0</v>
      </c>
      <c r="E60" s="51">
        <v>5.0</v>
      </c>
      <c r="F60" s="51">
        <v>8.0</v>
      </c>
      <c r="G60" s="51">
        <v>12.0</v>
      </c>
      <c r="H60" s="51">
        <v>20.0</v>
      </c>
    </row>
    <row r="61" ht="24.75" customHeight="1">
      <c r="A61" s="51"/>
      <c r="B61" s="51" t="s">
        <v>469</v>
      </c>
      <c r="C61" s="51" t="s">
        <v>121</v>
      </c>
      <c r="D61" s="51">
        <v>3.0</v>
      </c>
      <c r="E61" s="51">
        <v>5.0</v>
      </c>
      <c r="F61" s="51">
        <v>8.0</v>
      </c>
      <c r="G61" s="51">
        <v>12.0</v>
      </c>
      <c r="H61" s="51">
        <v>20.0</v>
      </c>
    </row>
    <row r="62" ht="24.75" customHeight="1">
      <c r="A62" s="51"/>
      <c r="B62" s="51" t="s">
        <v>470</v>
      </c>
      <c r="C62" s="51" t="s">
        <v>122</v>
      </c>
      <c r="D62" s="51">
        <v>3.0</v>
      </c>
      <c r="E62" s="51">
        <v>5.0</v>
      </c>
      <c r="F62" s="51">
        <v>8.0</v>
      </c>
      <c r="G62" s="51">
        <v>12.0</v>
      </c>
      <c r="H62" s="51">
        <v>20.0</v>
      </c>
    </row>
    <row r="63" ht="24.75" customHeight="1">
      <c r="A63" s="51"/>
      <c r="B63" s="51" t="s">
        <v>471</v>
      </c>
      <c r="C63" s="51" t="s">
        <v>123</v>
      </c>
      <c r="D63" s="51">
        <v>3.0</v>
      </c>
      <c r="E63" s="51">
        <v>5.0</v>
      </c>
      <c r="F63" s="51">
        <v>8.0</v>
      </c>
      <c r="G63" s="51">
        <v>12.0</v>
      </c>
      <c r="H63" s="51">
        <v>20.0</v>
      </c>
    </row>
    <row r="64" ht="24.75" customHeight="1">
      <c r="A64" s="51"/>
      <c r="B64" s="51" t="s">
        <v>472</v>
      </c>
      <c r="C64" s="51" t="s">
        <v>129</v>
      </c>
      <c r="D64" s="51">
        <v>2.0</v>
      </c>
      <c r="E64" s="51">
        <v>4.0</v>
      </c>
      <c r="F64" s="51">
        <v>6.0</v>
      </c>
      <c r="G64" s="51">
        <v>9.0</v>
      </c>
      <c r="H64" s="51">
        <v>16.0</v>
      </c>
    </row>
    <row r="65" ht="24.75" customHeight="1">
      <c r="A65" s="51"/>
      <c r="B65" s="51" t="s">
        <v>473</v>
      </c>
      <c r="C65" s="51" t="s">
        <v>131</v>
      </c>
      <c r="D65" s="51">
        <v>2.0</v>
      </c>
      <c r="E65" s="51">
        <v>4.0</v>
      </c>
      <c r="F65" s="51">
        <v>6.0</v>
      </c>
      <c r="G65" s="51">
        <v>9.0</v>
      </c>
      <c r="H65" s="51">
        <v>16.0</v>
      </c>
    </row>
    <row r="66" ht="24.75" customHeight="1">
      <c r="A66" s="51"/>
      <c r="B66" s="51" t="s">
        <v>474</v>
      </c>
      <c r="C66" s="51" t="s">
        <v>130</v>
      </c>
      <c r="D66" s="51">
        <v>2.0</v>
      </c>
      <c r="E66" s="51">
        <v>4.0</v>
      </c>
      <c r="F66" s="51">
        <v>6.0</v>
      </c>
      <c r="G66" s="51">
        <v>9.0</v>
      </c>
      <c r="H66" s="51">
        <v>16.0</v>
      </c>
    </row>
    <row r="67" ht="24.75" customHeight="1">
      <c r="A67" s="51"/>
      <c r="B67" s="51" t="s">
        <v>475</v>
      </c>
      <c r="C67" s="51" t="s">
        <v>133</v>
      </c>
      <c r="D67" s="51">
        <v>3.0</v>
      </c>
      <c r="E67" s="51">
        <v>5.0</v>
      </c>
      <c r="F67" s="51">
        <v>8.0</v>
      </c>
      <c r="G67" s="51">
        <v>12.0</v>
      </c>
      <c r="H67" s="51">
        <v>20.0</v>
      </c>
    </row>
    <row r="68" ht="24.75" customHeight="1">
      <c r="A68" s="51"/>
      <c r="B68" s="51" t="s">
        <v>476</v>
      </c>
      <c r="C68" s="51" t="s">
        <v>135</v>
      </c>
      <c r="D68" s="51">
        <v>3.0</v>
      </c>
      <c r="E68" s="51">
        <v>5.0</v>
      </c>
      <c r="F68" s="51">
        <v>8.0</v>
      </c>
      <c r="G68" s="51">
        <v>12.0</v>
      </c>
      <c r="H68" s="51">
        <v>20.0</v>
      </c>
    </row>
    <row r="69" ht="24.75" customHeight="1">
      <c r="A69" s="51"/>
      <c r="B69" s="51" t="s">
        <v>477</v>
      </c>
      <c r="C69" s="51" t="s">
        <v>134</v>
      </c>
      <c r="D69" s="51">
        <v>3.0</v>
      </c>
      <c r="E69" s="51">
        <v>5.0</v>
      </c>
      <c r="F69" s="51">
        <v>8.0</v>
      </c>
      <c r="G69" s="51">
        <v>12.0</v>
      </c>
      <c r="H69" s="51">
        <v>20.0</v>
      </c>
    </row>
    <row r="70" ht="24.75" customHeight="1">
      <c r="A70" s="51"/>
      <c r="B70" s="51" t="s">
        <v>478</v>
      </c>
      <c r="C70" s="51" t="s">
        <v>137</v>
      </c>
      <c r="D70" s="51">
        <v>2.0</v>
      </c>
      <c r="E70" s="51">
        <v>4.0</v>
      </c>
      <c r="F70" s="51">
        <v>6.0</v>
      </c>
      <c r="G70" s="51">
        <v>9.0</v>
      </c>
      <c r="H70" s="51">
        <v>16.0</v>
      </c>
    </row>
    <row r="71" ht="24.75" customHeight="1">
      <c r="A71" s="51"/>
      <c r="B71" s="51" t="s">
        <v>479</v>
      </c>
      <c r="C71" s="51" t="s">
        <v>139</v>
      </c>
      <c r="D71" s="51">
        <v>2.0</v>
      </c>
      <c r="E71" s="51">
        <v>4.0</v>
      </c>
      <c r="F71" s="51">
        <v>6.0</v>
      </c>
      <c r="G71" s="51">
        <v>9.0</v>
      </c>
      <c r="H71" s="51">
        <v>16.0</v>
      </c>
    </row>
    <row r="72" ht="24.75" customHeight="1">
      <c r="A72" s="51"/>
      <c r="B72" s="51" t="s">
        <v>480</v>
      </c>
      <c r="C72" s="51" t="s">
        <v>138</v>
      </c>
      <c r="D72" s="51">
        <v>2.0</v>
      </c>
      <c r="E72" s="51">
        <v>4.0</v>
      </c>
      <c r="F72" s="51">
        <v>6.0</v>
      </c>
      <c r="G72" s="51">
        <v>9.0</v>
      </c>
      <c r="H72" s="51">
        <v>16.0</v>
      </c>
    </row>
    <row r="73" ht="24.75" customHeight="1">
      <c r="A73" s="51"/>
      <c r="B73" s="51" t="s">
        <v>481</v>
      </c>
      <c r="C73" s="51" t="s">
        <v>159</v>
      </c>
      <c r="D73" s="51">
        <v>3.0</v>
      </c>
      <c r="E73" s="52" t="s">
        <v>55</v>
      </c>
      <c r="F73" s="52" t="s">
        <v>55</v>
      </c>
      <c r="G73" s="52" t="s">
        <v>55</v>
      </c>
      <c r="H73" s="52" t="s">
        <v>55</v>
      </c>
    </row>
    <row r="74" ht="24.75" customHeight="1">
      <c r="A74" s="51"/>
      <c r="B74" s="51" t="s">
        <v>482</v>
      </c>
      <c r="C74" s="51" t="s">
        <v>125</v>
      </c>
      <c r="D74" s="51">
        <v>3.0</v>
      </c>
      <c r="E74" s="52" t="s">
        <v>55</v>
      </c>
      <c r="F74" s="52" t="s">
        <v>55</v>
      </c>
      <c r="G74" s="52" t="s">
        <v>55</v>
      </c>
      <c r="H74" s="52" t="s">
        <v>55</v>
      </c>
    </row>
    <row r="75" ht="24.75" customHeight="1">
      <c r="A75" s="51"/>
      <c r="B75" s="51" t="s">
        <v>483</v>
      </c>
      <c r="C75" s="51" t="s">
        <v>127</v>
      </c>
      <c r="D75" s="51">
        <v>3.0</v>
      </c>
      <c r="E75" s="52" t="s">
        <v>55</v>
      </c>
      <c r="F75" s="52" t="s">
        <v>55</v>
      </c>
      <c r="G75" s="52" t="s">
        <v>55</v>
      </c>
      <c r="H75" s="52" t="s">
        <v>55</v>
      </c>
    </row>
    <row r="76" ht="24.75" customHeight="1">
      <c r="A76" s="51"/>
      <c r="B76" s="51" t="s">
        <v>484</v>
      </c>
      <c r="C76" s="51" t="s">
        <v>126</v>
      </c>
      <c r="D76" s="51">
        <v>3.0</v>
      </c>
      <c r="E76" s="52" t="s">
        <v>55</v>
      </c>
      <c r="F76" s="52" t="s">
        <v>55</v>
      </c>
      <c r="G76" s="52" t="s">
        <v>55</v>
      </c>
      <c r="H76" s="52" t="s">
        <v>55</v>
      </c>
    </row>
    <row r="77" ht="24.75" customHeight="1">
      <c r="A77" s="51"/>
      <c r="B77" s="51" t="s">
        <v>485</v>
      </c>
      <c r="C77" s="51" t="s">
        <v>149</v>
      </c>
      <c r="D77" s="51">
        <v>4.0</v>
      </c>
      <c r="E77" s="51">
        <v>7.0</v>
      </c>
      <c r="F77" s="51">
        <v>12.0</v>
      </c>
      <c r="G77" s="51">
        <v>18.0</v>
      </c>
      <c r="H77" s="51">
        <v>28.0</v>
      </c>
    </row>
    <row r="78" ht="24.75" customHeight="1">
      <c r="A78" s="51"/>
      <c r="B78" s="51" t="s">
        <v>486</v>
      </c>
      <c r="C78" s="51" t="s">
        <v>151</v>
      </c>
      <c r="D78" s="51">
        <v>4.0</v>
      </c>
      <c r="E78" s="51">
        <v>7.0</v>
      </c>
      <c r="F78" s="51">
        <v>12.0</v>
      </c>
      <c r="G78" s="51">
        <v>18.0</v>
      </c>
      <c r="H78" s="51">
        <v>28.0</v>
      </c>
    </row>
    <row r="79" ht="24.75" customHeight="1">
      <c r="A79" s="51"/>
      <c r="B79" s="51" t="s">
        <v>487</v>
      </c>
      <c r="C79" s="51" t="s">
        <v>150</v>
      </c>
      <c r="D79" s="51">
        <v>4.0</v>
      </c>
      <c r="E79" s="51">
        <v>7.0</v>
      </c>
      <c r="F79" s="51">
        <v>12.0</v>
      </c>
      <c r="G79" s="51">
        <v>18.0</v>
      </c>
      <c r="H79" s="51">
        <v>28.0</v>
      </c>
    </row>
    <row r="80" ht="24.75" customHeight="1">
      <c r="A80" s="51"/>
      <c r="B80" s="51" t="s">
        <v>488</v>
      </c>
      <c r="C80" s="51" t="s">
        <v>198</v>
      </c>
      <c r="D80" s="51">
        <v>3.0</v>
      </c>
      <c r="E80" s="51">
        <v>5.0</v>
      </c>
      <c r="F80" s="51">
        <v>8.0</v>
      </c>
      <c r="G80" s="51">
        <v>12.0</v>
      </c>
      <c r="H80" s="51">
        <v>20.0</v>
      </c>
    </row>
    <row r="81" ht="24.75" customHeight="1">
      <c r="A81" s="51"/>
      <c r="B81" s="51" t="s">
        <v>489</v>
      </c>
      <c r="C81" s="51" t="s">
        <v>200</v>
      </c>
      <c r="D81" s="51">
        <v>3.0</v>
      </c>
      <c r="E81" s="51">
        <v>5.0</v>
      </c>
      <c r="F81" s="51">
        <v>8.0</v>
      </c>
      <c r="G81" s="51">
        <v>12.0</v>
      </c>
      <c r="H81" s="51">
        <v>20.0</v>
      </c>
    </row>
    <row r="82" ht="24.75" customHeight="1">
      <c r="A82" s="51"/>
      <c r="B82" s="51" t="s">
        <v>490</v>
      </c>
      <c r="C82" s="51" t="s">
        <v>199</v>
      </c>
      <c r="D82" s="51">
        <v>3.0</v>
      </c>
      <c r="E82" s="51">
        <v>5.0</v>
      </c>
      <c r="F82" s="51">
        <v>8.0</v>
      </c>
      <c r="G82" s="51">
        <v>12.0</v>
      </c>
      <c r="H82" s="51">
        <v>20.0</v>
      </c>
    </row>
    <row r="83" ht="24.75" customHeight="1">
      <c r="A83" s="51"/>
      <c r="B83" s="51" t="s">
        <v>491</v>
      </c>
      <c r="C83" s="51" t="s">
        <v>169</v>
      </c>
      <c r="D83" s="51">
        <v>5.0</v>
      </c>
      <c r="E83" s="51">
        <v>8.0</v>
      </c>
      <c r="F83" s="51">
        <v>14.0</v>
      </c>
      <c r="G83" s="51">
        <v>22.0</v>
      </c>
      <c r="H83" s="51">
        <v>32.0</v>
      </c>
    </row>
    <row r="84" ht="24.75" customHeight="1">
      <c r="A84" s="51"/>
      <c r="B84" s="51" t="s">
        <v>492</v>
      </c>
      <c r="C84" s="51" t="s">
        <v>164</v>
      </c>
      <c r="D84" s="51">
        <v>3.0</v>
      </c>
      <c r="E84" s="52" t="s">
        <v>55</v>
      </c>
      <c r="F84" s="52" t="s">
        <v>55</v>
      </c>
      <c r="G84" s="52" t="s">
        <v>55</v>
      </c>
      <c r="H84" s="52" t="s">
        <v>55</v>
      </c>
    </row>
    <row r="85" ht="24.75" customHeight="1">
      <c r="A85" s="51"/>
      <c r="B85" s="51" t="s">
        <v>493</v>
      </c>
      <c r="C85" s="51" t="s">
        <v>117</v>
      </c>
      <c r="D85" s="51">
        <v>3.0</v>
      </c>
      <c r="E85" s="51">
        <v>5.0</v>
      </c>
      <c r="F85" s="51">
        <v>8.0</v>
      </c>
      <c r="G85" s="51">
        <v>12.0</v>
      </c>
      <c r="H85" s="51">
        <v>20.0</v>
      </c>
    </row>
    <row r="86" ht="24.75" customHeight="1">
      <c r="A86" s="51"/>
      <c r="B86" s="51" t="s">
        <v>494</v>
      </c>
      <c r="C86" s="51" t="s">
        <v>119</v>
      </c>
      <c r="D86" s="51">
        <v>3.0</v>
      </c>
      <c r="E86" s="51">
        <v>5.0</v>
      </c>
      <c r="F86" s="51">
        <v>8.0</v>
      </c>
      <c r="G86" s="51">
        <v>12.0</v>
      </c>
      <c r="H86" s="51">
        <v>20.0</v>
      </c>
    </row>
    <row r="87" ht="24.75" customHeight="1">
      <c r="A87" s="51"/>
      <c r="B87" s="51" t="s">
        <v>495</v>
      </c>
      <c r="C87" s="51" t="s">
        <v>118</v>
      </c>
      <c r="D87" s="51">
        <v>3.0</v>
      </c>
      <c r="E87" s="51">
        <v>5.0</v>
      </c>
      <c r="F87" s="51">
        <v>8.0</v>
      </c>
      <c r="G87" s="51">
        <v>12.0</v>
      </c>
      <c r="H87" s="51">
        <v>20.0</v>
      </c>
    </row>
    <row r="88" ht="24.75" customHeight="1">
      <c r="A88" s="51"/>
      <c r="B88" s="51" t="s">
        <v>496</v>
      </c>
      <c r="C88" s="51" t="s">
        <v>160</v>
      </c>
      <c r="D88" s="51">
        <v>3.0</v>
      </c>
      <c r="E88" s="52" t="s">
        <v>55</v>
      </c>
      <c r="F88" s="52" t="s">
        <v>55</v>
      </c>
      <c r="G88" s="52" t="s">
        <v>55</v>
      </c>
      <c r="H88" s="52" t="s">
        <v>55</v>
      </c>
    </row>
    <row r="89" ht="24.75" customHeight="1">
      <c r="A89" s="51"/>
      <c r="B89" s="51" t="s">
        <v>497</v>
      </c>
      <c r="C89" s="51" t="s">
        <v>158</v>
      </c>
      <c r="D89" s="52">
        <v>0.0</v>
      </c>
      <c r="E89" s="52" t="s">
        <v>55</v>
      </c>
      <c r="F89" s="52" t="s">
        <v>55</v>
      </c>
      <c r="G89" s="52" t="s">
        <v>55</v>
      </c>
      <c r="H89" s="52" t="s">
        <v>55</v>
      </c>
    </row>
    <row r="90" ht="24.75" customHeight="1">
      <c r="A90" s="51"/>
      <c r="B90" s="52" t="s">
        <v>498</v>
      </c>
      <c r="C90" s="52" t="s">
        <v>62</v>
      </c>
      <c r="D90" s="51">
        <v>3.0</v>
      </c>
      <c r="E90" s="51">
        <v>5.0</v>
      </c>
      <c r="F90" s="51">
        <v>8.0</v>
      </c>
      <c r="G90" s="51">
        <v>12.0</v>
      </c>
      <c r="H90" s="51">
        <v>20.0</v>
      </c>
    </row>
    <row r="91" ht="24.75" customHeight="1">
      <c r="A91" s="51"/>
      <c r="B91" s="51" t="s">
        <v>498</v>
      </c>
      <c r="C91" s="51" t="s">
        <v>61</v>
      </c>
      <c r="D91" s="51">
        <v>3.0</v>
      </c>
      <c r="E91" s="51">
        <v>5.0</v>
      </c>
      <c r="F91" s="51">
        <v>8.0</v>
      </c>
      <c r="G91" s="51">
        <v>12.0</v>
      </c>
      <c r="H91" s="51">
        <v>20.0</v>
      </c>
    </row>
    <row r="92" ht="24.75" customHeight="1">
      <c r="A92" s="51"/>
      <c r="B92" s="51" t="s">
        <v>499</v>
      </c>
      <c r="C92" s="51" t="s">
        <v>168</v>
      </c>
      <c r="D92" s="51">
        <v>4.0</v>
      </c>
      <c r="E92" s="51">
        <v>7.0</v>
      </c>
      <c r="F92" s="51">
        <v>12.0</v>
      </c>
      <c r="G92" s="51">
        <v>18.0</v>
      </c>
      <c r="H92" s="51">
        <v>28.0</v>
      </c>
    </row>
    <row r="93" ht="24.75" customHeight="1">
      <c r="A93" s="51"/>
      <c r="B93" s="51" t="s">
        <v>500</v>
      </c>
      <c r="C93" s="51" t="s">
        <v>141</v>
      </c>
      <c r="D93" s="51">
        <v>1.0</v>
      </c>
      <c r="E93" s="51">
        <v>3.0</v>
      </c>
      <c r="F93" s="51">
        <v>5.0</v>
      </c>
      <c r="G93" s="51">
        <v>7.0</v>
      </c>
      <c r="H93" s="51">
        <v>12.0</v>
      </c>
    </row>
    <row r="94" ht="24.75" customHeight="1">
      <c r="A94" s="51"/>
      <c r="B94" s="51" t="s">
        <v>501</v>
      </c>
      <c r="C94" s="51" t="s">
        <v>142</v>
      </c>
      <c r="D94" s="51">
        <v>1.0</v>
      </c>
      <c r="E94" s="51">
        <v>3.0</v>
      </c>
      <c r="F94" s="51">
        <v>5.0</v>
      </c>
      <c r="G94" s="51">
        <v>7.0</v>
      </c>
      <c r="H94" s="51">
        <v>12.0</v>
      </c>
    </row>
    <row r="95" ht="24.75" customHeight="1">
      <c r="A95" s="51"/>
      <c r="B95" s="51" t="s">
        <v>502</v>
      </c>
      <c r="C95" s="51" t="s">
        <v>143</v>
      </c>
      <c r="D95" s="51">
        <v>1.0</v>
      </c>
      <c r="E95" s="51">
        <v>3.0</v>
      </c>
      <c r="F95" s="51">
        <v>5.0</v>
      </c>
      <c r="G95" s="51">
        <v>7.0</v>
      </c>
      <c r="H95" s="51">
        <v>12.0</v>
      </c>
    </row>
    <row r="96" ht="24.75" customHeight="1">
      <c r="A96" s="51"/>
      <c r="B96" s="51" t="s">
        <v>503</v>
      </c>
      <c r="C96" s="51" t="s">
        <v>162</v>
      </c>
      <c r="D96" s="51">
        <v>3.0</v>
      </c>
      <c r="E96" s="51">
        <v>5.0</v>
      </c>
      <c r="F96" s="51">
        <v>8.0</v>
      </c>
      <c r="G96" s="51">
        <v>12.0</v>
      </c>
      <c r="H96" s="51">
        <v>20.0</v>
      </c>
    </row>
    <row r="97" ht="24.75" customHeight="1">
      <c r="A97" s="51"/>
      <c r="B97" s="51" t="s">
        <v>504</v>
      </c>
      <c r="C97" s="51" t="s">
        <v>190</v>
      </c>
      <c r="D97" s="51">
        <v>3.0</v>
      </c>
      <c r="E97" s="52" t="s">
        <v>55</v>
      </c>
      <c r="F97" s="52" t="s">
        <v>55</v>
      </c>
      <c r="G97" s="52" t="s">
        <v>55</v>
      </c>
      <c r="H97" s="52" t="s">
        <v>55</v>
      </c>
    </row>
    <row r="98" ht="24.75" customHeight="1">
      <c r="A98" s="51"/>
      <c r="B98" s="51" t="s">
        <v>505</v>
      </c>
      <c r="C98" s="51" t="s">
        <v>192</v>
      </c>
      <c r="D98" s="51">
        <v>3.0</v>
      </c>
      <c r="E98" s="52" t="s">
        <v>55</v>
      </c>
      <c r="F98" s="52" t="s">
        <v>55</v>
      </c>
      <c r="G98" s="52" t="s">
        <v>55</v>
      </c>
      <c r="H98" s="52" t="s">
        <v>55</v>
      </c>
    </row>
    <row r="99" ht="24.75" customHeight="1">
      <c r="A99" s="51"/>
      <c r="B99" s="51" t="s">
        <v>506</v>
      </c>
      <c r="C99" s="51" t="s">
        <v>191</v>
      </c>
      <c r="D99" s="51">
        <v>3.0</v>
      </c>
      <c r="E99" s="52" t="s">
        <v>55</v>
      </c>
      <c r="F99" s="52" t="s">
        <v>55</v>
      </c>
      <c r="G99" s="52" t="s">
        <v>55</v>
      </c>
      <c r="H99" s="52" t="s">
        <v>55</v>
      </c>
    </row>
    <row r="100" ht="24.75" customHeight="1">
      <c r="A100" s="51"/>
      <c r="B100" s="51" t="s">
        <v>507</v>
      </c>
      <c r="C100" s="51" t="s">
        <v>181</v>
      </c>
      <c r="D100" s="51">
        <v>8.0</v>
      </c>
      <c r="E100" s="52" t="s">
        <v>55</v>
      </c>
      <c r="F100" s="52" t="s">
        <v>55</v>
      </c>
      <c r="G100" s="52" t="s">
        <v>55</v>
      </c>
      <c r="H100" s="52" t="s">
        <v>55</v>
      </c>
    </row>
    <row r="101" ht="24.75" customHeight="1">
      <c r="A101" s="51"/>
      <c r="B101" s="51" t="s">
        <v>508</v>
      </c>
      <c r="C101" s="51" t="s">
        <v>183</v>
      </c>
      <c r="D101" s="51">
        <v>8.0</v>
      </c>
      <c r="E101" s="52" t="s">
        <v>55</v>
      </c>
      <c r="F101" s="52" t="s">
        <v>55</v>
      </c>
      <c r="G101" s="52" t="s">
        <v>55</v>
      </c>
      <c r="H101" s="52" t="s">
        <v>55</v>
      </c>
    </row>
    <row r="102" ht="24.75" customHeight="1">
      <c r="A102" s="51"/>
      <c r="B102" s="51" t="s">
        <v>509</v>
      </c>
      <c r="C102" s="51" t="s">
        <v>182</v>
      </c>
      <c r="D102" s="51">
        <v>8.0</v>
      </c>
      <c r="E102" s="52" t="s">
        <v>55</v>
      </c>
      <c r="F102" s="52" t="s">
        <v>55</v>
      </c>
      <c r="G102" s="52" t="s">
        <v>55</v>
      </c>
      <c r="H102" s="52" t="s">
        <v>55</v>
      </c>
    </row>
    <row r="103" ht="24.75" customHeight="1">
      <c r="A103" s="51"/>
      <c r="B103" s="51" t="s">
        <v>510</v>
      </c>
      <c r="C103" s="51" t="s">
        <v>174</v>
      </c>
      <c r="D103" s="51">
        <v>1.0</v>
      </c>
      <c r="E103" s="52" t="s">
        <v>55</v>
      </c>
      <c r="F103" s="52" t="s">
        <v>55</v>
      </c>
      <c r="G103" s="52" t="s">
        <v>55</v>
      </c>
      <c r="H103" s="52" t="s">
        <v>55</v>
      </c>
    </row>
    <row r="104" ht="24.75" customHeight="1">
      <c r="A104" s="51"/>
      <c r="B104" s="51" t="s">
        <v>511</v>
      </c>
      <c r="C104" s="51" t="s">
        <v>173</v>
      </c>
      <c r="D104" s="51">
        <v>7.0</v>
      </c>
      <c r="E104" s="52" t="s">
        <v>55</v>
      </c>
      <c r="F104" s="52" t="s">
        <v>55</v>
      </c>
      <c r="G104" s="52" t="s">
        <v>55</v>
      </c>
      <c r="H104" s="52" t="s">
        <v>55</v>
      </c>
    </row>
    <row r="105" ht="24.75" customHeight="1">
      <c r="A105" s="51"/>
      <c r="B105" s="51" t="s">
        <v>512</v>
      </c>
      <c r="C105" s="51" t="s">
        <v>177</v>
      </c>
      <c r="D105" s="51">
        <v>2.0</v>
      </c>
      <c r="E105" s="52" t="s">
        <v>55</v>
      </c>
      <c r="F105" s="52" t="s">
        <v>55</v>
      </c>
      <c r="G105" s="52" t="s">
        <v>55</v>
      </c>
      <c r="H105" s="52" t="s">
        <v>55</v>
      </c>
    </row>
    <row r="106" ht="24.75" customHeight="1">
      <c r="A106" s="51"/>
      <c r="B106" s="51" t="s">
        <v>513</v>
      </c>
      <c r="C106" s="51" t="s">
        <v>179</v>
      </c>
      <c r="D106" s="51">
        <v>2.0</v>
      </c>
      <c r="E106" s="52" t="s">
        <v>55</v>
      </c>
      <c r="F106" s="52" t="s">
        <v>55</v>
      </c>
      <c r="G106" s="52" t="s">
        <v>55</v>
      </c>
      <c r="H106" s="52" t="s">
        <v>55</v>
      </c>
    </row>
    <row r="107" ht="24.75" customHeight="1">
      <c r="A107" s="51"/>
      <c r="B107" s="51" t="s">
        <v>514</v>
      </c>
      <c r="C107" s="51" t="s">
        <v>178</v>
      </c>
      <c r="D107" s="51">
        <v>2.0</v>
      </c>
      <c r="E107" s="52" t="s">
        <v>55</v>
      </c>
      <c r="F107" s="52" t="s">
        <v>55</v>
      </c>
      <c r="G107" s="52" t="s">
        <v>55</v>
      </c>
      <c r="H107" s="52" t="s">
        <v>55</v>
      </c>
    </row>
    <row r="108" ht="24.75" customHeight="1">
      <c r="A108" s="51"/>
      <c r="B108" s="51" t="s">
        <v>515</v>
      </c>
      <c r="C108" s="51" t="s">
        <v>170</v>
      </c>
      <c r="D108" s="51">
        <v>1.0</v>
      </c>
      <c r="E108" s="52" t="s">
        <v>55</v>
      </c>
      <c r="F108" s="52" t="s">
        <v>55</v>
      </c>
      <c r="G108" s="52" t="s">
        <v>55</v>
      </c>
      <c r="H108" s="52" t="s">
        <v>55</v>
      </c>
    </row>
    <row r="109" ht="24.75" customHeight="1">
      <c r="A109" s="51"/>
      <c r="B109" s="51" t="s">
        <v>516</v>
      </c>
      <c r="C109" s="51" t="s">
        <v>175</v>
      </c>
      <c r="D109" s="51">
        <v>1.0</v>
      </c>
      <c r="E109" s="52" t="s">
        <v>55</v>
      </c>
      <c r="F109" s="52" t="s">
        <v>55</v>
      </c>
      <c r="G109" s="52" t="s">
        <v>55</v>
      </c>
      <c r="H109" s="52" t="s">
        <v>55</v>
      </c>
    </row>
    <row r="110" ht="24.75" customHeight="1">
      <c r="A110" s="51"/>
      <c r="B110" s="51" t="s">
        <v>517</v>
      </c>
      <c r="C110" s="51" t="s">
        <v>171</v>
      </c>
      <c r="D110" s="51">
        <v>2.0</v>
      </c>
      <c r="E110" s="52" t="s">
        <v>55</v>
      </c>
      <c r="F110" s="52" t="s">
        <v>55</v>
      </c>
      <c r="G110" s="52" t="s">
        <v>55</v>
      </c>
      <c r="H110" s="52" t="s">
        <v>55</v>
      </c>
    </row>
    <row r="111" ht="24.75" customHeight="1">
      <c r="A111" s="51"/>
      <c r="B111" s="51" t="s">
        <v>518</v>
      </c>
      <c r="C111" s="51" t="s">
        <v>172</v>
      </c>
      <c r="D111" s="51">
        <v>3.0</v>
      </c>
      <c r="E111" s="52" t="s">
        <v>55</v>
      </c>
      <c r="F111" s="52" t="s">
        <v>55</v>
      </c>
      <c r="G111" s="52" t="s">
        <v>55</v>
      </c>
      <c r="H111" s="52" t="s">
        <v>55</v>
      </c>
    </row>
    <row r="112" ht="24.75" customHeight="1">
      <c r="A112" s="51"/>
      <c r="B112" s="51" t="s">
        <v>519</v>
      </c>
      <c r="C112" s="51" t="s">
        <v>105</v>
      </c>
      <c r="D112" s="51">
        <v>4.0</v>
      </c>
      <c r="E112" s="51">
        <v>6.0</v>
      </c>
      <c r="F112" s="51">
        <v>10.0</v>
      </c>
      <c r="G112" s="51">
        <v>15.0</v>
      </c>
      <c r="H112" s="51">
        <v>24.0</v>
      </c>
    </row>
    <row r="113" ht="24.75" customHeight="1">
      <c r="A113" s="51"/>
      <c r="B113" s="51" t="s">
        <v>520</v>
      </c>
      <c r="C113" s="51" t="s">
        <v>107</v>
      </c>
      <c r="D113" s="51">
        <v>4.0</v>
      </c>
      <c r="E113" s="51">
        <v>6.0</v>
      </c>
      <c r="F113" s="51">
        <v>10.0</v>
      </c>
      <c r="G113" s="51">
        <v>15.0</v>
      </c>
      <c r="H113" s="51">
        <v>24.0</v>
      </c>
    </row>
    <row r="114" ht="24.75" customHeight="1">
      <c r="A114" s="51"/>
      <c r="B114" s="51" t="s">
        <v>521</v>
      </c>
      <c r="C114" s="51" t="s">
        <v>106</v>
      </c>
      <c r="D114" s="51">
        <v>4.0</v>
      </c>
      <c r="E114" s="51">
        <v>6.0</v>
      </c>
      <c r="F114" s="51">
        <v>10.0</v>
      </c>
      <c r="G114" s="51">
        <v>15.0</v>
      </c>
      <c r="H114" s="51">
        <v>24.0</v>
      </c>
    </row>
    <row r="115" ht="24.75" customHeight="1">
      <c r="A115" s="51"/>
      <c r="B115" s="51" t="s">
        <v>522</v>
      </c>
      <c r="C115" s="51" t="s">
        <v>185</v>
      </c>
      <c r="D115" s="51">
        <v>4.0</v>
      </c>
      <c r="E115" s="52" t="s">
        <v>55</v>
      </c>
      <c r="F115" s="52" t="s">
        <v>55</v>
      </c>
      <c r="G115" s="52" t="s">
        <v>55</v>
      </c>
      <c r="H115" s="52" t="s">
        <v>55</v>
      </c>
    </row>
    <row r="116" ht="24.75" customHeight="1">
      <c r="A116" s="51"/>
      <c r="B116" s="51" t="s">
        <v>523</v>
      </c>
      <c r="C116" s="51" t="s">
        <v>187</v>
      </c>
      <c r="D116" s="51">
        <v>4.0</v>
      </c>
      <c r="E116" s="52" t="s">
        <v>55</v>
      </c>
      <c r="F116" s="52" t="s">
        <v>55</v>
      </c>
      <c r="G116" s="52" t="s">
        <v>55</v>
      </c>
      <c r="H116" s="52" t="s">
        <v>55</v>
      </c>
    </row>
    <row r="117" ht="24.75" customHeight="1">
      <c r="A117" s="51"/>
      <c r="B117" s="51" t="s">
        <v>524</v>
      </c>
      <c r="C117" s="51" t="s">
        <v>186</v>
      </c>
      <c r="D117" s="51">
        <v>4.0</v>
      </c>
      <c r="E117" s="52" t="s">
        <v>55</v>
      </c>
      <c r="F117" s="52" t="s">
        <v>55</v>
      </c>
      <c r="G117" s="52" t="s">
        <v>55</v>
      </c>
      <c r="H117" s="52" t="s">
        <v>55</v>
      </c>
    </row>
    <row r="118" ht="24.75" customHeight="1">
      <c r="A118" s="51"/>
      <c r="B118" s="51" t="s">
        <v>525</v>
      </c>
      <c r="C118" s="51" t="s">
        <v>147</v>
      </c>
      <c r="D118" s="51">
        <v>2.0</v>
      </c>
      <c r="E118" s="51">
        <v>4.0</v>
      </c>
      <c r="F118" s="51">
        <v>6.0</v>
      </c>
      <c r="G118" s="51">
        <v>9.0</v>
      </c>
      <c r="H118" s="51">
        <v>16.0</v>
      </c>
    </row>
    <row r="119" ht="24.75" customHeight="1">
      <c r="A119" s="51"/>
      <c r="B119" s="51" t="s">
        <v>526</v>
      </c>
      <c r="C119" s="51" t="s">
        <v>145</v>
      </c>
      <c r="D119" s="51">
        <v>2.0</v>
      </c>
      <c r="E119" s="51">
        <v>4.0</v>
      </c>
      <c r="F119" s="51">
        <v>6.0</v>
      </c>
      <c r="G119" s="51">
        <v>9.0</v>
      </c>
      <c r="H119" s="51">
        <v>16.0</v>
      </c>
    </row>
    <row r="120" ht="24.75" customHeight="1">
      <c r="A120" s="51"/>
      <c r="B120" s="51" t="s">
        <v>527</v>
      </c>
      <c r="C120" s="51" t="s">
        <v>144</v>
      </c>
      <c r="D120" s="51">
        <v>2.0</v>
      </c>
      <c r="E120" s="51">
        <v>4.0</v>
      </c>
      <c r="F120" s="51">
        <v>6.0</v>
      </c>
      <c r="G120" s="51">
        <v>9.0</v>
      </c>
      <c r="H120" s="51">
        <v>16.0</v>
      </c>
    </row>
    <row r="121" ht="24.75" customHeight="1">
      <c r="A121" s="51"/>
      <c r="B121" s="51" t="s">
        <v>528</v>
      </c>
      <c r="C121" s="51" t="s">
        <v>146</v>
      </c>
      <c r="D121" s="51">
        <v>2.0</v>
      </c>
      <c r="E121" s="51">
        <v>4.0</v>
      </c>
      <c r="F121" s="51">
        <v>6.0</v>
      </c>
      <c r="G121" s="51">
        <v>9.0</v>
      </c>
      <c r="H121" s="51">
        <v>16.0</v>
      </c>
    </row>
    <row r="122" ht="24.75" customHeight="1">
      <c r="A122" s="51"/>
      <c r="B122" s="51" t="s">
        <v>529</v>
      </c>
      <c r="C122" s="51" t="s">
        <v>210</v>
      </c>
      <c r="D122" s="51">
        <v>3.0</v>
      </c>
      <c r="E122" s="51">
        <v>5.0</v>
      </c>
      <c r="F122" s="51">
        <v>8.0</v>
      </c>
      <c r="G122" s="51">
        <v>12.0</v>
      </c>
      <c r="H122" s="51">
        <v>20.0</v>
      </c>
    </row>
    <row r="123" ht="24.75" customHeight="1">
      <c r="A123" s="51"/>
      <c r="B123" s="51" t="s">
        <v>530</v>
      </c>
      <c r="C123" s="51" t="s">
        <v>212</v>
      </c>
      <c r="D123" s="51">
        <v>3.0</v>
      </c>
      <c r="E123" s="51">
        <v>5.0</v>
      </c>
      <c r="F123" s="51">
        <v>8.0</v>
      </c>
      <c r="G123" s="51">
        <v>12.0</v>
      </c>
      <c r="H123" s="51">
        <v>20.0</v>
      </c>
    </row>
    <row r="124" ht="24.75" customHeight="1">
      <c r="A124" s="51"/>
      <c r="B124" s="51" t="s">
        <v>531</v>
      </c>
      <c r="C124" s="51" t="s">
        <v>211</v>
      </c>
      <c r="D124" s="51">
        <v>3.0</v>
      </c>
      <c r="E124" s="51">
        <v>5.0</v>
      </c>
      <c r="F124" s="51">
        <v>8.0</v>
      </c>
      <c r="G124" s="51">
        <v>12.0</v>
      </c>
      <c r="H124" s="51">
        <v>20.0</v>
      </c>
    </row>
    <row r="125" ht="24.75" customHeight="1">
      <c r="A125" s="51"/>
      <c r="B125" s="51" t="s">
        <v>532</v>
      </c>
      <c r="C125" s="51" t="s">
        <v>214</v>
      </c>
      <c r="D125" s="51">
        <v>3.0</v>
      </c>
      <c r="E125" s="51">
        <v>5.0</v>
      </c>
      <c r="F125" s="51">
        <v>8.0</v>
      </c>
      <c r="G125" s="51">
        <v>12.0</v>
      </c>
      <c r="H125" s="51">
        <v>20.0</v>
      </c>
    </row>
    <row r="126" ht="24.75" customHeight="1">
      <c r="A126" s="51"/>
      <c r="B126" s="51" t="s">
        <v>533</v>
      </c>
      <c r="C126" s="51" t="s">
        <v>216</v>
      </c>
      <c r="D126" s="51">
        <v>3.0</v>
      </c>
      <c r="E126" s="51">
        <v>5.0</v>
      </c>
      <c r="F126" s="51">
        <v>8.0</v>
      </c>
      <c r="G126" s="51">
        <v>12.0</v>
      </c>
      <c r="H126" s="51">
        <v>20.0</v>
      </c>
    </row>
    <row r="127" ht="24.75" customHeight="1">
      <c r="A127" s="51"/>
      <c r="B127" s="51" t="s">
        <v>534</v>
      </c>
      <c r="C127" s="51" t="s">
        <v>215</v>
      </c>
      <c r="D127" s="51">
        <v>3.0</v>
      </c>
      <c r="E127" s="51">
        <v>5.0</v>
      </c>
      <c r="F127" s="51">
        <v>8.0</v>
      </c>
      <c r="G127" s="51">
        <v>12.0</v>
      </c>
      <c r="H127" s="51">
        <v>20.0</v>
      </c>
    </row>
    <row r="128" ht="24.75" customHeight="1">
      <c r="A128" s="51"/>
      <c r="B128" s="51" t="s">
        <v>535</v>
      </c>
      <c r="C128" s="51" t="s">
        <v>218</v>
      </c>
      <c r="D128" s="51">
        <v>3.0</v>
      </c>
      <c r="E128" s="51">
        <v>5.0</v>
      </c>
      <c r="F128" s="51">
        <v>8.0</v>
      </c>
      <c r="G128" s="51">
        <v>12.0</v>
      </c>
      <c r="H128" s="51">
        <v>20.0</v>
      </c>
    </row>
    <row r="129" ht="24.75" customHeight="1">
      <c r="A129" s="51"/>
      <c r="B129" s="51" t="s">
        <v>536</v>
      </c>
      <c r="C129" s="51" t="s">
        <v>220</v>
      </c>
      <c r="D129" s="51">
        <v>3.0</v>
      </c>
      <c r="E129" s="51">
        <v>5.0</v>
      </c>
      <c r="F129" s="51">
        <v>8.0</v>
      </c>
      <c r="G129" s="51">
        <v>12.0</v>
      </c>
      <c r="H129" s="51">
        <v>20.0</v>
      </c>
    </row>
    <row r="130" ht="24.75" customHeight="1">
      <c r="A130" s="51"/>
      <c r="B130" s="51" t="s">
        <v>537</v>
      </c>
      <c r="C130" s="51" t="s">
        <v>219</v>
      </c>
      <c r="D130" s="51">
        <v>3.0</v>
      </c>
      <c r="E130" s="51">
        <v>5.0</v>
      </c>
      <c r="F130" s="51">
        <v>8.0</v>
      </c>
      <c r="G130" s="51">
        <v>12.0</v>
      </c>
      <c r="H130" s="51">
        <v>20.0</v>
      </c>
    </row>
    <row r="131" ht="24.75" customHeight="1">
      <c r="A131" s="51"/>
      <c r="B131" s="51" t="s">
        <v>538</v>
      </c>
      <c r="C131" s="51" t="s">
        <v>222</v>
      </c>
      <c r="D131" s="51">
        <v>3.0</v>
      </c>
      <c r="E131" s="51">
        <v>5.0</v>
      </c>
      <c r="F131" s="51">
        <v>8.0</v>
      </c>
      <c r="G131" s="51">
        <v>12.0</v>
      </c>
      <c r="H131" s="51">
        <v>20.0</v>
      </c>
    </row>
    <row r="132" ht="24.75" customHeight="1">
      <c r="A132" s="51"/>
      <c r="B132" s="51" t="s">
        <v>539</v>
      </c>
      <c r="C132" s="51" t="s">
        <v>224</v>
      </c>
      <c r="D132" s="51">
        <v>3.0</v>
      </c>
      <c r="E132" s="51">
        <v>5.0</v>
      </c>
      <c r="F132" s="51">
        <v>8.0</v>
      </c>
      <c r="G132" s="51">
        <v>12.0</v>
      </c>
      <c r="H132" s="51">
        <v>20.0</v>
      </c>
    </row>
    <row r="133" ht="24.75" customHeight="1">
      <c r="A133" s="51"/>
      <c r="B133" s="51" t="s">
        <v>540</v>
      </c>
      <c r="C133" s="51" t="s">
        <v>223</v>
      </c>
      <c r="D133" s="51">
        <v>3.0</v>
      </c>
      <c r="E133" s="51">
        <v>5.0</v>
      </c>
      <c r="F133" s="51">
        <v>8.0</v>
      </c>
      <c r="G133" s="51">
        <v>12.0</v>
      </c>
      <c r="H133" s="51">
        <v>20.0</v>
      </c>
    </row>
    <row r="134" ht="24.75" customHeight="1">
      <c r="A134" s="51"/>
      <c r="B134" s="51" t="s">
        <v>541</v>
      </c>
      <c r="C134" s="51" t="s">
        <v>188</v>
      </c>
      <c r="D134" s="51">
        <v>2.0</v>
      </c>
      <c r="E134" s="51">
        <v>4.0</v>
      </c>
      <c r="F134" s="51">
        <v>6.0</v>
      </c>
      <c r="G134" s="51">
        <v>9.0</v>
      </c>
      <c r="H134" s="51">
        <v>16.0</v>
      </c>
    </row>
    <row r="135" ht="24.75" customHeight="1">
      <c r="A135" s="51"/>
      <c r="B135" s="51" t="s">
        <v>542</v>
      </c>
      <c r="C135" s="51" t="s">
        <v>194</v>
      </c>
      <c r="D135" s="51">
        <v>3.0</v>
      </c>
      <c r="E135" s="51">
        <v>5.0</v>
      </c>
      <c r="F135" s="51">
        <v>8.0</v>
      </c>
      <c r="G135" s="51">
        <v>12.0</v>
      </c>
      <c r="H135" s="51">
        <v>20.0</v>
      </c>
    </row>
    <row r="136" ht="24.75" customHeight="1">
      <c r="A136" s="51"/>
      <c r="B136" s="51" t="s">
        <v>543</v>
      </c>
      <c r="C136" s="51" t="s">
        <v>196</v>
      </c>
      <c r="D136" s="51">
        <v>3.0</v>
      </c>
      <c r="E136" s="51">
        <v>5.0</v>
      </c>
      <c r="F136" s="51">
        <v>8.0</v>
      </c>
      <c r="G136" s="51">
        <v>12.0</v>
      </c>
      <c r="H136" s="51">
        <v>20.0</v>
      </c>
    </row>
    <row r="137" ht="24.75" customHeight="1">
      <c r="A137" s="51"/>
      <c r="B137" s="51" t="s">
        <v>544</v>
      </c>
      <c r="C137" s="51" t="s">
        <v>195</v>
      </c>
      <c r="D137" s="51">
        <v>3.0</v>
      </c>
      <c r="E137" s="51">
        <v>5.0</v>
      </c>
      <c r="F137" s="51">
        <v>8.0</v>
      </c>
      <c r="G137" s="51">
        <v>12.0</v>
      </c>
      <c r="H137" s="51">
        <v>20.0</v>
      </c>
    </row>
    <row r="138" ht="24.75" customHeight="1">
      <c r="A138" s="53"/>
      <c r="B138" s="51" t="s">
        <v>545</v>
      </c>
      <c r="C138" s="51" t="s">
        <v>206</v>
      </c>
      <c r="D138" s="51">
        <v>3.0</v>
      </c>
      <c r="E138" s="51">
        <v>5.0</v>
      </c>
      <c r="F138" s="51">
        <v>8.0</v>
      </c>
      <c r="G138" s="51">
        <v>12.0</v>
      </c>
      <c r="H138" s="51">
        <v>20.0</v>
      </c>
    </row>
    <row r="139" ht="24.75" customHeight="1">
      <c r="A139" s="53"/>
      <c r="B139" s="51" t="s">
        <v>546</v>
      </c>
      <c r="C139" s="51" t="s">
        <v>208</v>
      </c>
      <c r="D139" s="51">
        <v>3.0</v>
      </c>
      <c r="E139" s="51">
        <v>5.0</v>
      </c>
      <c r="F139" s="51">
        <v>8.0</v>
      </c>
      <c r="G139" s="51">
        <v>12.0</v>
      </c>
      <c r="H139" s="51">
        <v>20.0</v>
      </c>
    </row>
    <row r="140" ht="24.75" customHeight="1">
      <c r="A140" s="53"/>
      <c r="B140" s="51" t="s">
        <v>547</v>
      </c>
      <c r="C140" s="51" t="s">
        <v>207</v>
      </c>
      <c r="D140" s="51">
        <v>3.0</v>
      </c>
      <c r="E140" s="51">
        <v>5.0</v>
      </c>
      <c r="F140" s="51">
        <v>8.0</v>
      </c>
      <c r="G140" s="51">
        <v>12.0</v>
      </c>
      <c r="H140" s="51">
        <v>20.0</v>
      </c>
    </row>
  </sheetData>
  <drawing r:id="rId2"/>
  <legacyDrawing r:id="rId3"/>
</worksheet>
</file>

<file path=xl/worksheets/sheet5.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tabColor rgb="FFFF0000"/>
    <outlinePr summaryBelow="0" summaryRight="0"/>
  </sheetPr>
  <sheetViews>
    <sheetView workbookViewId="0"/>
  </sheetViews>
  <sheetFormatPr customHeight="1" defaultColWidth="12.63" defaultRowHeight="15.75"/>
  <cols>
    <col customWidth="1" min="1" max="1" width="5.13"/>
    <col customWidth="1" min="2" max="2" width="19.38"/>
    <col customWidth="1" min="3" max="3" width="24.25"/>
  </cols>
  <sheetData>
    <row r="1">
      <c r="A1" s="54">
        <v>1.0</v>
      </c>
      <c r="B1" s="55" t="s">
        <v>548</v>
      </c>
      <c r="C1" s="55" t="s">
        <v>549</v>
      </c>
    </row>
    <row r="2">
      <c r="A2" s="54">
        <v>1.0</v>
      </c>
      <c r="B2" s="55" t="s">
        <v>548</v>
      </c>
      <c r="C2" s="55" t="s">
        <v>550</v>
      </c>
    </row>
    <row r="3">
      <c r="A3" s="54">
        <v>1.0</v>
      </c>
      <c r="B3" s="55" t="s">
        <v>548</v>
      </c>
      <c r="C3" s="55" t="s">
        <v>231</v>
      </c>
    </row>
    <row r="4">
      <c r="A4" s="54">
        <v>1.0</v>
      </c>
      <c r="B4" s="55" t="s">
        <v>548</v>
      </c>
      <c r="C4" s="55" t="s">
        <v>232</v>
      </c>
    </row>
    <row r="5">
      <c r="A5" s="54">
        <v>1.0</v>
      </c>
      <c r="B5" s="55" t="s">
        <v>548</v>
      </c>
      <c r="C5" s="55" t="s">
        <v>551</v>
      </c>
    </row>
    <row r="6">
      <c r="A6" s="54">
        <v>1.0</v>
      </c>
      <c r="B6" s="55" t="s">
        <v>548</v>
      </c>
      <c r="C6" s="55" t="s">
        <v>552</v>
      </c>
    </row>
    <row r="7">
      <c r="A7" s="54">
        <v>1.0</v>
      </c>
      <c r="B7" s="55" t="s">
        <v>548</v>
      </c>
      <c r="C7" s="55" t="s">
        <v>553</v>
      </c>
    </row>
    <row r="8">
      <c r="A8" s="54">
        <v>1.0</v>
      </c>
      <c r="B8" s="55" t="s">
        <v>548</v>
      </c>
      <c r="C8" s="55" t="s">
        <v>554</v>
      </c>
    </row>
    <row r="9">
      <c r="A9" s="54">
        <v>1.0</v>
      </c>
      <c r="B9" s="55" t="s">
        <v>548</v>
      </c>
      <c r="C9" s="55" t="s">
        <v>233</v>
      </c>
    </row>
    <row r="10">
      <c r="A10" s="54">
        <v>1.0</v>
      </c>
      <c r="B10" s="55" t="s">
        <v>548</v>
      </c>
      <c r="C10" s="55" t="s">
        <v>234</v>
      </c>
    </row>
    <row r="11">
      <c r="A11" s="54">
        <v>1.0</v>
      </c>
      <c r="B11" s="55" t="s">
        <v>548</v>
      </c>
      <c r="C11" s="55" t="s">
        <v>555</v>
      </c>
    </row>
    <row r="12">
      <c r="A12" s="54">
        <v>1.0</v>
      </c>
      <c r="B12" s="55" t="s">
        <v>548</v>
      </c>
      <c r="C12" s="55" t="s">
        <v>556</v>
      </c>
    </row>
    <row r="13">
      <c r="A13" s="54">
        <v>1.0</v>
      </c>
      <c r="B13" s="55" t="s">
        <v>548</v>
      </c>
      <c r="C13" s="55" t="s">
        <v>235</v>
      </c>
    </row>
    <row r="14">
      <c r="A14" s="54">
        <v>1.0</v>
      </c>
      <c r="B14" s="55" t="s">
        <v>548</v>
      </c>
      <c r="C14" s="55" t="s">
        <v>557</v>
      </c>
    </row>
    <row r="15">
      <c r="A15" s="54">
        <v>1.0</v>
      </c>
      <c r="B15" s="55" t="s">
        <v>548</v>
      </c>
      <c r="C15" s="55" t="s">
        <v>558</v>
      </c>
    </row>
    <row r="16">
      <c r="A16" s="54">
        <v>1.0</v>
      </c>
      <c r="B16" s="55" t="s">
        <v>548</v>
      </c>
      <c r="C16" s="55" t="s">
        <v>236</v>
      </c>
    </row>
    <row r="17">
      <c r="A17" s="54">
        <v>1.0</v>
      </c>
      <c r="B17" s="55" t="s">
        <v>548</v>
      </c>
      <c r="C17" s="55" t="s">
        <v>559</v>
      </c>
    </row>
    <row r="18">
      <c r="A18" s="54">
        <v>2.0</v>
      </c>
      <c r="B18" s="55" t="s">
        <v>560</v>
      </c>
      <c r="C18" s="55" t="s">
        <v>561</v>
      </c>
    </row>
    <row r="19">
      <c r="A19" s="54">
        <v>2.0</v>
      </c>
      <c r="B19" s="55" t="s">
        <v>560</v>
      </c>
      <c r="C19" s="55" t="s">
        <v>237</v>
      </c>
    </row>
    <row r="20">
      <c r="A20" s="54">
        <v>2.0</v>
      </c>
      <c r="B20" s="55" t="s">
        <v>560</v>
      </c>
      <c r="C20" s="55" t="s">
        <v>238</v>
      </c>
    </row>
    <row r="21">
      <c r="A21" s="54">
        <v>2.0</v>
      </c>
      <c r="B21" s="55" t="s">
        <v>560</v>
      </c>
      <c r="C21" s="55" t="s">
        <v>562</v>
      </c>
    </row>
    <row r="22">
      <c r="A22" s="54">
        <v>2.0</v>
      </c>
      <c r="B22" s="55" t="s">
        <v>560</v>
      </c>
      <c r="C22" s="55" t="s">
        <v>563</v>
      </c>
    </row>
    <row r="23">
      <c r="A23" s="54">
        <v>2.0</v>
      </c>
      <c r="B23" s="55" t="s">
        <v>560</v>
      </c>
      <c r="C23" s="55" t="s">
        <v>564</v>
      </c>
    </row>
    <row r="24">
      <c r="A24" s="54">
        <v>2.0</v>
      </c>
      <c r="B24" s="55" t="s">
        <v>560</v>
      </c>
      <c r="C24" s="55" t="s">
        <v>565</v>
      </c>
    </row>
    <row r="25">
      <c r="A25" s="54">
        <v>2.0</v>
      </c>
      <c r="B25" s="55" t="s">
        <v>560</v>
      </c>
      <c r="C25" s="55" t="s">
        <v>239</v>
      </c>
    </row>
    <row r="26">
      <c r="A26" s="54">
        <v>2.0</v>
      </c>
      <c r="B26" s="55" t="s">
        <v>560</v>
      </c>
      <c r="C26" s="55" t="s">
        <v>240</v>
      </c>
    </row>
    <row r="27">
      <c r="A27" s="54">
        <v>2.0</v>
      </c>
      <c r="B27" s="55" t="s">
        <v>560</v>
      </c>
      <c r="C27" s="55" t="s">
        <v>241</v>
      </c>
    </row>
    <row r="28">
      <c r="A28" s="54">
        <v>2.0</v>
      </c>
      <c r="B28" s="55" t="s">
        <v>560</v>
      </c>
      <c r="C28" s="55" t="s">
        <v>242</v>
      </c>
    </row>
    <row r="29">
      <c r="A29" s="54">
        <v>2.0</v>
      </c>
      <c r="B29" s="55" t="s">
        <v>560</v>
      </c>
      <c r="C29" s="55" t="s">
        <v>566</v>
      </c>
    </row>
    <row r="30">
      <c r="A30" s="54">
        <v>2.0</v>
      </c>
      <c r="B30" s="55" t="s">
        <v>560</v>
      </c>
      <c r="C30" s="55" t="s">
        <v>567</v>
      </c>
    </row>
    <row r="31">
      <c r="A31" s="54">
        <v>2.0</v>
      </c>
      <c r="B31" s="55" t="s">
        <v>560</v>
      </c>
      <c r="C31" s="55" t="s">
        <v>243</v>
      </c>
    </row>
    <row r="32">
      <c r="A32" s="54">
        <v>2.0</v>
      </c>
      <c r="B32" s="55" t="s">
        <v>560</v>
      </c>
      <c r="C32" s="55" t="s">
        <v>244</v>
      </c>
    </row>
    <row r="33">
      <c r="A33" s="54">
        <v>3.0</v>
      </c>
      <c r="B33" s="55" t="s">
        <v>568</v>
      </c>
      <c r="C33" s="55" t="s">
        <v>569</v>
      </c>
    </row>
    <row r="34">
      <c r="A34" s="54">
        <v>3.0</v>
      </c>
      <c r="B34" s="55" t="s">
        <v>568</v>
      </c>
      <c r="C34" s="55" t="s">
        <v>570</v>
      </c>
    </row>
    <row r="35">
      <c r="A35" s="54">
        <v>3.0</v>
      </c>
      <c r="B35" s="55" t="s">
        <v>568</v>
      </c>
      <c r="C35" s="55" t="s">
        <v>245</v>
      </c>
    </row>
    <row r="36">
      <c r="A36" s="54">
        <v>3.0</v>
      </c>
      <c r="B36" s="55" t="s">
        <v>568</v>
      </c>
      <c r="C36" s="55" t="s">
        <v>246</v>
      </c>
    </row>
    <row r="37">
      <c r="A37" s="54">
        <v>3.0</v>
      </c>
      <c r="B37" s="55" t="s">
        <v>568</v>
      </c>
      <c r="C37" s="55" t="s">
        <v>247</v>
      </c>
    </row>
    <row r="38">
      <c r="A38" s="54">
        <v>3.0</v>
      </c>
      <c r="B38" s="55" t="s">
        <v>568</v>
      </c>
      <c r="C38" s="55" t="s">
        <v>571</v>
      </c>
    </row>
    <row r="39">
      <c r="A39" s="54">
        <v>3.0</v>
      </c>
      <c r="B39" s="55" t="s">
        <v>568</v>
      </c>
      <c r="C39" s="55" t="s">
        <v>572</v>
      </c>
    </row>
    <row r="40">
      <c r="A40" s="54">
        <v>3.0</v>
      </c>
      <c r="B40" s="55" t="s">
        <v>568</v>
      </c>
      <c r="C40" s="55" t="s">
        <v>573</v>
      </c>
    </row>
    <row r="41">
      <c r="A41" s="54">
        <v>3.0</v>
      </c>
      <c r="B41" s="55" t="s">
        <v>568</v>
      </c>
      <c r="C41" s="55" t="s">
        <v>574</v>
      </c>
    </row>
    <row r="42">
      <c r="A42" s="54">
        <v>3.0</v>
      </c>
      <c r="B42" s="55" t="s">
        <v>568</v>
      </c>
      <c r="C42" s="55" t="s">
        <v>575</v>
      </c>
    </row>
    <row r="43">
      <c r="A43" s="54">
        <v>3.0</v>
      </c>
      <c r="B43" s="55" t="s">
        <v>568</v>
      </c>
      <c r="C43" s="55" t="s">
        <v>248</v>
      </c>
    </row>
    <row r="44">
      <c r="A44" s="54">
        <v>3.0</v>
      </c>
      <c r="B44" s="55" t="s">
        <v>568</v>
      </c>
      <c r="C44" s="55" t="s">
        <v>249</v>
      </c>
    </row>
    <row r="45">
      <c r="A45" s="54">
        <v>3.0</v>
      </c>
      <c r="B45" s="55" t="s">
        <v>568</v>
      </c>
      <c r="C45" s="55" t="s">
        <v>576</v>
      </c>
    </row>
    <row r="46">
      <c r="A46" s="54">
        <v>3.0</v>
      </c>
      <c r="B46" s="55" t="s">
        <v>568</v>
      </c>
      <c r="C46" s="55" t="s">
        <v>250</v>
      </c>
    </row>
    <row r="47">
      <c r="A47" s="54">
        <v>3.0</v>
      </c>
      <c r="B47" s="55" t="s">
        <v>568</v>
      </c>
      <c r="C47" s="55" t="s">
        <v>251</v>
      </c>
    </row>
    <row r="48">
      <c r="A48" s="54">
        <v>3.0</v>
      </c>
      <c r="B48" s="55" t="s">
        <v>568</v>
      </c>
      <c r="C48" s="55" t="s">
        <v>252</v>
      </c>
    </row>
    <row r="49">
      <c r="A49" s="54">
        <v>3.0</v>
      </c>
      <c r="B49" s="55" t="s">
        <v>568</v>
      </c>
      <c r="C49" s="55" t="s">
        <v>253</v>
      </c>
    </row>
    <row r="50">
      <c r="A50" s="54">
        <v>4.0</v>
      </c>
      <c r="B50" s="55" t="s">
        <v>577</v>
      </c>
      <c r="C50" s="55" t="s">
        <v>578</v>
      </c>
    </row>
    <row r="51">
      <c r="A51" s="54">
        <v>4.0</v>
      </c>
      <c r="B51" s="55" t="s">
        <v>577</v>
      </c>
      <c r="C51" s="55" t="s">
        <v>579</v>
      </c>
    </row>
    <row r="52">
      <c r="A52" s="54">
        <v>4.0</v>
      </c>
      <c r="B52" s="55" t="s">
        <v>577</v>
      </c>
      <c r="C52" s="55" t="s">
        <v>580</v>
      </c>
    </row>
    <row r="53">
      <c r="A53" s="54">
        <v>4.0</v>
      </c>
      <c r="B53" s="55" t="s">
        <v>577</v>
      </c>
      <c r="C53" s="55" t="s">
        <v>581</v>
      </c>
    </row>
    <row r="54">
      <c r="A54" s="54">
        <v>4.0</v>
      </c>
      <c r="B54" s="55" t="s">
        <v>577</v>
      </c>
      <c r="C54" s="55" t="s">
        <v>582</v>
      </c>
    </row>
    <row r="55">
      <c r="A55" s="54">
        <v>4.0</v>
      </c>
      <c r="B55" s="55" t="s">
        <v>577</v>
      </c>
      <c r="C55" s="55" t="s">
        <v>583</v>
      </c>
    </row>
    <row r="56">
      <c r="A56" s="54">
        <v>5.0</v>
      </c>
      <c r="B56" s="55" t="s">
        <v>584</v>
      </c>
      <c r="C56" s="55" t="s">
        <v>254</v>
      </c>
    </row>
    <row r="57">
      <c r="A57" s="54">
        <v>5.0</v>
      </c>
      <c r="B57" s="55" t="s">
        <v>584</v>
      </c>
      <c r="C57" s="55" t="s">
        <v>585</v>
      </c>
    </row>
    <row r="58">
      <c r="A58" s="54">
        <v>5.0</v>
      </c>
      <c r="B58" s="55" t="s">
        <v>584</v>
      </c>
      <c r="C58" s="55" t="s">
        <v>586</v>
      </c>
    </row>
    <row r="59">
      <c r="A59" s="54">
        <v>5.0</v>
      </c>
      <c r="B59" s="55" t="s">
        <v>584</v>
      </c>
      <c r="C59" s="55" t="s">
        <v>587</v>
      </c>
    </row>
    <row r="60">
      <c r="A60" s="54">
        <v>5.0</v>
      </c>
      <c r="B60" s="55" t="s">
        <v>584</v>
      </c>
      <c r="C60" s="55" t="s">
        <v>255</v>
      </c>
    </row>
    <row r="61">
      <c r="A61" s="54">
        <v>5.0</v>
      </c>
      <c r="B61" s="55" t="s">
        <v>584</v>
      </c>
      <c r="C61" s="55" t="s">
        <v>256</v>
      </c>
    </row>
    <row r="62">
      <c r="A62" s="54">
        <v>5.0</v>
      </c>
      <c r="B62" s="55" t="s">
        <v>584</v>
      </c>
      <c r="C62" s="55" t="s">
        <v>588</v>
      </c>
    </row>
    <row r="63">
      <c r="A63" s="54">
        <v>5.0</v>
      </c>
      <c r="B63" s="55" t="s">
        <v>584</v>
      </c>
      <c r="C63" s="55" t="s">
        <v>589</v>
      </c>
    </row>
    <row r="64">
      <c r="A64" s="54">
        <v>5.0</v>
      </c>
      <c r="B64" s="55" t="s">
        <v>584</v>
      </c>
      <c r="C64" s="55" t="s">
        <v>590</v>
      </c>
    </row>
    <row r="65">
      <c r="A65" s="54">
        <v>5.0</v>
      </c>
      <c r="B65" s="55" t="s">
        <v>584</v>
      </c>
      <c r="C65" s="55" t="s">
        <v>591</v>
      </c>
    </row>
    <row r="66">
      <c r="A66" s="54">
        <v>5.0</v>
      </c>
      <c r="B66" s="55" t="s">
        <v>584</v>
      </c>
      <c r="C66" s="55" t="s">
        <v>592</v>
      </c>
    </row>
    <row r="67">
      <c r="A67" s="54">
        <v>5.0</v>
      </c>
      <c r="B67" s="55" t="s">
        <v>584</v>
      </c>
      <c r="C67" s="55" t="s">
        <v>593</v>
      </c>
    </row>
    <row r="68">
      <c r="A68" s="54">
        <v>5.0</v>
      </c>
      <c r="B68" s="55" t="s">
        <v>584</v>
      </c>
      <c r="C68" s="55" t="s">
        <v>594</v>
      </c>
    </row>
    <row r="69">
      <c r="A69" s="54">
        <v>5.0</v>
      </c>
      <c r="B69" s="55" t="s">
        <v>584</v>
      </c>
      <c r="C69" s="55" t="s">
        <v>595</v>
      </c>
    </row>
    <row r="70">
      <c r="A70" s="54">
        <v>5.0</v>
      </c>
      <c r="B70" s="55" t="s">
        <v>584</v>
      </c>
      <c r="C70" s="55" t="s">
        <v>257</v>
      </c>
    </row>
    <row r="71">
      <c r="A71" s="54">
        <v>5.0</v>
      </c>
      <c r="B71" s="55" t="s">
        <v>584</v>
      </c>
      <c r="C71" s="55" t="s">
        <v>596</v>
      </c>
    </row>
    <row r="72">
      <c r="A72" s="54">
        <v>6.0</v>
      </c>
      <c r="B72" s="55" t="s">
        <v>597</v>
      </c>
      <c r="C72" s="55" t="s">
        <v>598</v>
      </c>
    </row>
    <row r="73">
      <c r="A73" s="54">
        <v>6.0</v>
      </c>
      <c r="B73" s="55" t="s">
        <v>597</v>
      </c>
      <c r="C73" s="55" t="s">
        <v>599</v>
      </c>
    </row>
    <row r="74">
      <c r="A74" s="54">
        <v>6.0</v>
      </c>
      <c r="B74" s="55" t="s">
        <v>597</v>
      </c>
      <c r="C74" s="55" t="s">
        <v>600</v>
      </c>
    </row>
    <row r="75">
      <c r="A75" s="54">
        <v>6.0</v>
      </c>
      <c r="B75" s="55" t="s">
        <v>597</v>
      </c>
      <c r="C75" s="55" t="s">
        <v>258</v>
      </c>
    </row>
    <row r="76">
      <c r="A76" s="54">
        <v>6.0</v>
      </c>
      <c r="B76" s="55" t="s">
        <v>597</v>
      </c>
      <c r="C76" s="55" t="s">
        <v>259</v>
      </c>
    </row>
    <row r="77">
      <c r="A77" s="54">
        <v>6.0</v>
      </c>
      <c r="B77" s="55" t="s">
        <v>597</v>
      </c>
      <c r="C77" s="55" t="s">
        <v>260</v>
      </c>
    </row>
    <row r="78">
      <c r="A78" s="54">
        <v>6.0</v>
      </c>
      <c r="B78" s="55" t="s">
        <v>597</v>
      </c>
      <c r="C78" s="55" t="s">
        <v>601</v>
      </c>
    </row>
    <row r="79">
      <c r="A79" s="54">
        <v>6.0</v>
      </c>
      <c r="B79" s="55" t="s">
        <v>597</v>
      </c>
      <c r="C79" s="55" t="s">
        <v>261</v>
      </c>
    </row>
    <row r="80">
      <c r="A80" s="54">
        <v>6.0</v>
      </c>
      <c r="B80" s="55" t="s">
        <v>597</v>
      </c>
      <c r="C80" s="55" t="s">
        <v>602</v>
      </c>
    </row>
    <row r="81">
      <c r="A81" s="54">
        <v>6.0</v>
      </c>
      <c r="B81" s="55" t="s">
        <v>597</v>
      </c>
      <c r="C81" s="55" t="s">
        <v>603</v>
      </c>
    </row>
    <row r="82">
      <c r="A82" s="54">
        <v>6.0</v>
      </c>
      <c r="B82" s="55" t="s">
        <v>597</v>
      </c>
      <c r="C82" s="55" t="s">
        <v>604</v>
      </c>
    </row>
    <row r="83">
      <c r="A83" s="54">
        <v>6.0</v>
      </c>
      <c r="B83" s="55" t="s">
        <v>597</v>
      </c>
      <c r="C83" s="55" t="s">
        <v>262</v>
      </c>
    </row>
    <row r="84">
      <c r="A84" s="54">
        <v>6.0</v>
      </c>
      <c r="B84" s="55" t="s">
        <v>597</v>
      </c>
      <c r="C84" s="55" t="s">
        <v>605</v>
      </c>
    </row>
    <row r="85">
      <c r="A85" s="54">
        <v>6.0</v>
      </c>
      <c r="B85" s="55" t="s">
        <v>597</v>
      </c>
      <c r="C85" s="55" t="s">
        <v>263</v>
      </c>
    </row>
    <row r="86">
      <c r="A86" s="54">
        <v>6.0</v>
      </c>
      <c r="B86" s="55" t="s">
        <v>597</v>
      </c>
      <c r="C86" s="55" t="s">
        <v>264</v>
      </c>
    </row>
    <row r="87">
      <c r="A87" s="54">
        <v>7.0</v>
      </c>
      <c r="B87" s="55" t="s">
        <v>606</v>
      </c>
      <c r="C87" s="55" t="s">
        <v>265</v>
      </c>
    </row>
    <row r="88">
      <c r="A88" s="54">
        <v>7.0</v>
      </c>
      <c r="B88" s="55" t="s">
        <v>606</v>
      </c>
      <c r="C88" s="55" t="s">
        <v>607</v>
      </c>
    </row>
    <row r="89">
      <c r="A89" s="54">
        <v>7.0</v>
      </c>
      <c r="B89" s="55" t="s">
        <v>606</v>
      </c>
      <c r="C89" s="55" t="s">
        <v>266</v>
      </c>
    </row>
    <row r="90">
      <c r="A90" s="54">
        <v>7.0</v>
      </c>
      <c r="B90" s="55" t="s">
        <v>606</v>
      </c>
      <c r="C90" s="55" t="s">
        <v>267</v>
      </c>
    </row>
    <row r="91">
      <c r="A91" s="54">
        <v>7.0</v>
      </c>
      <c r="B91" s="55" t="s">
        <v>606</v>
      </c>
      <c r="C91" s="55" t="s">
        <v>268</v>
      </c>
    </row>
    <row r="92">
      <c r="A92" s="54">
        <v>7.0</v>
      </c>
      <c r="B92" s="55" t="s">
        <v>606</v>
      </c>
      <c r="C92" s="55" t="s">
        <v>269</v>
      </c>
    </row>
    <row r="93">
      <c r="A93" s="54">
        <v>7.0</v>
      </c>
      <c r="B93" s="55" t="s">
        <v>606</v>
      </c>
      <c r="C93" s="55" t="s">
        <v>270</v>
      </c>
    </row>
    <row r="94">
      <c r="A94" s="54">
        <v>7.0</v>
      </c>
      <c r="B94" s="55" t="s">
        <v>606</v>
      </c>
      <c r="C94" s="55" t="s">
        <v>271</v>
      </c>
    </row>
    <row r="95">
      <c r="A95" s="54">
        <v>7.0</v>
      </c>
      <c r="B95" s="55" t="s">
        <v>606</v>
      </c>
      <c r="C95" s="55" t="s">
        <v>272</v>
      </c>
    </row>
    <row r="96">
      <c r="A96" s="54">
        <v>7.0</v>
      </c>
      <c r="B96" s="55" t="s">
        <v>606</v>
      </c>
      <c r="C96" s="55" t="s">
        <v>273</v>
      </c>
    </row>
    <row r="97">
      <c r="A97" s="54">
        <v>7.0</v>
      </c>
      <c r="B97" s="55" t="s">
        <v>606</v>
      </c>
      <c r="C97" s="55" t="s">
        <v>608</v>
      </c>
    </row>
    <row r="98">
      <c r="A98" s="54">
        <v>7.0</v>
      </c>
      <c r="B98" s="55" t="s">
        <v>606</v>
      </c>
      <c r="C98" s="55" t="s">
        <v>274</v>
      </c>
    </row>
    <row r="99">
      <c r="A99" s="54">
        <v>7.0</v>
      </c>
      <c r="B99" s="55" t="s">
        <v>606</v>
      </c>
      <c r="C99" s="55" t="s">
        <v>609</v>
      </c>
    </row>
    <row r="100">
      <c r="A100" s="54">
        <v>7.0</v>
      </c>
      <c r="B100" s="55" t="s">
        <v>606</v>
      </c>
      <c r="C100" s="55" t="s">
        <v>610</v>
      </c>
    </row>
    <row r="101">
      <c r="A101" s="54">
        <v>7.0</v>
      </c>
      <c r="B101" s="55" t="s">
        <v>606</v>
      </c>
      <c r="C101" s="55" t="s">
        <v>275</v>
      </c>
    </row>
    <row r="102">
      <c r="A102" s="54">
        <v>7.0</v>
      </c>
      <c r="B102" s="55" t="s">
        <v>606</v>
      </c>
      <c r="C102" s="55" t="s">
        <v>276</v>
      </c>
    </row>
    <row r="103">
      <c r="A103" s="54">
        <v>7.0</v>
      </c>
      <c r="B103" s="55" t="s">
        <v>606</v>
      </c>
      <c r="C103" s="55" t="s">
        <v>277</v>
      </c>
    </row>
    <row r="104">
      <c r="A104" s="54">
        <v>7.0</v>
      </c>
      <c r="B104" s="55" t="s">
        <v>606</v>
      </c>
      <c r="C104" s="55" t="s">
        <v>278</v>
      </c>
    </row>
    <row r="105">
      <c r="A105" s="54">
        <v>7.0</v>
      </c>
      <c r="B105" s="55" t="s">
        <v>606</v>
      </c>
      <c r="C105" s="55" t="s">
        <v>279</v>
      </c>
    </row>
    <row r="106">
      <c r="A106" s="54">
        <v>7.0</v>
      </c>
      <c r="B106" s="55" t="s">
        <v>606</v>
      </c>
      <c r="C106" s="55" t="s">
        <v>280</v>
      </c>
    </row>
    <row r="107">
      <c r="A107" s="54">
        <v>7.0</v>
      </c>
      <c r="B107" s="55" t="s">
        <v>606</v>
      </c>
      <c r="C107" s="55" t="s">
        <v>281</v>
      </c>
    </row>
    <row r="108">
      <c r="A108" s="54">
        <v>7.0</v>
      </c>
      <c r="B108" s="55" t="s">
        <v>606</v>
      </c>
      <c r="C108" s="55" t="s">
        <v>611</v>
      </c>
    </row>
    <row r="109">
      <c r="A109" s="54">
        <v>7.0</v>
      </c>
      <c r="B109" s="55" t="s">
        <v>606</v>
      </c>
      <c r="C109" s="55" t="s">
        <v>282</v>
      </c>
    </row>
    <row r="110">
      <c r="A110" s="54">
        <v>7.0</v>
      </c>
      <c r="B110" s="55" t="s">
        <v>606</v>
      </c>
      <c r="C110" s="55" t="s">
        <v>283</v>
      </c>
    </row>
    <row r="111">
      <c r="A111" s="54">
        <v>8.0</v>
      </c>
      <c r="B111" s="55" t="s">
        <v>612</v>
      </c>
      <c r="C111" s="55" t="s">
        <v>284</v>
      </c>
    </row>
    <row r="112">
      <c r="A112" s="54">
        <v>8.0</v>
      </c>
      <c r="B112" s="55" t="s">
        <v>612</v>
      </c>
      <c r="C112" s="55" t="s">
        <v>285</v>
      </c>
    </row>
    <row r="113">
      <c r="A113" s="54">
        <v>8.0</v>
      </c>
      <c r="B113" s="55" t="s">
        <v>612</v>
      </c>
      <c r="C113" s="55" t="s">
        <v>286</v>
      </c>
    </row>
    <row r="114">
      <c r="A114" s="54">
        <v>8.0</v>
      </c>
      <c r="B114" s="55" t="s">
        <v>612</v>
      </c>
      <c r="C114" s="55" t="s">
        <v>287</v>
      </c>
    </row>
    <row r="115">
      <c r="A115" s="54">
        <v>8.0</v>
      </c>
      <c r="B115" s="55" t="s">
        <v>612</v>
      </c>
      <c r="C115" s="55" t="s">
        <v>288</v>
      </c>
    </row>
    <row r="116">
      <c r="A116" s="54">
        <v>8.0</v>
      </c>
      <c r="B116" s="55" t="s">
        <v>612</v>
      </c>
      <c r="C116" s="55" t="s">
        <v>289</v>
      </c>
    </row>
    <row r="117">
      <c r="A117" s="54">
        <v>8.0</v>
      </c>
      <c r="B117" s="55" t="s">
        <v>612</v>
      </c>
      <c r="C117" s="55" t="s">
        <v>290</v>
      </c>
    </row>
    <row r="118">
      <c r="A118" s="54">
        <v>8.0</v>
      </c>
      <c r="B118" s="55" t="s">
        <v>612</v>
      </c>
      <c r="C118" s="55" t="s">
        <v>291</v>
      </c>
    </row>
    <row r="119">
      <c r="A119" s="56">
        <v>9.01</v>
      </c>
      <c r="B119" s="57" t="s">
        <v>613</v>
      </c>
      <c r="C119" s="58" t="s">
        <v>292</v>
      </c>
    </row>
    <row r="120">
      <c r="A120" s="56">
        <v>9.01</v>
      </c>
      <c r="B120" s="57" t="s">
        <v>613</v>
      </c>
      <c r="C120" s="58" t="s">
        <v>293</v>
      </c>
    </row>
    <row r="121">
      <c r="A121" s="56">
        <v>9.01</v>
      </c>
      <c r="B121" s="57" t="s">
        <v>613</v>
      </c>
      <c r="C121" s="58" t="s">
        <v>294</v>
      </c>
    </row>
    <row r="122">
      <c r="A122" s="56">
        <v>9.01</v>
      </c>
      <c r="B122" s="57" t="s">
        <v>613</v>
      </c>
      <c r="C122" s="58" t="s">
        <v>295</v>
      </c>
    </row>
    <row r="123">
      <c r="A123" s="56">
        <v>9.01</v>
      </c>
      <c r="B123" s="59" t="s">
        <v>613</v>
      </c>
      <c r="C123" s="58" t="s">
        <v>296</v>
      </c>
    </row>
    <row r="124">
      <c r="A124" s="56">
        <v>9.01</v>
      </c>
      <c r="B124" s="57" t="s">
        <v>613</v>
      </c>
      <c r="C124" s="58" t="s">
        <v>297</v>
      </c>
    </row>
    <row r="125">
      <c r="A125" s="56">
        <v>9.01</v>
      </c>
      <c r="B125" s="57" t="s">
        <v>613</v>
      </c>
      <c r="C125" s="58" t="s">
        <v>298</v>
      </c>
    </row>
    <row r="126">
      <c r="A126" s="56">
        <v>9.01</v>
      </c>
      <c r="B126" s="57" t="s">
        <v>613</v>
      </c>
      <c r="C126" s="58" t="s">
        <v>299</v>
      </c>
    </row>
    <row r="127">
      <c r="A127" s="56">
        <v>9.01</v>
      </c>
      <c r="B127" s="57" t="s">
        <v>613</v>
      </c>
      <c r="C127" s="58" t="s">
        <v>300</v>
      </c>
    </row>
    <row r="128">
      <c r="A128" s="56">
        <v>9.01</v>
      </c>
      <c r="B128" s="59" t="s">
        <v>613</v>
      </c>
      <c r="C128" s="58" t="s">
        <v>301</v>
      </c>
    </row>
    <row r="129">
      <c r="A129" s="56">
        <v>9.02</v>
      </c>
      <c r="B129" s="57" t="s">
        <v>614</v>
      </c>
      <c r="C129" s="58" t="s">
        <v>302</v>
      </c>
    </row>
    <row r="130">
      <c r="A130" s="56">
        <v>9.02</v>
      </c>
      <c r="B130" s="58" t="s">
        <v>614</v>
      </c>
      <c r="C130" s="58" t="s">
        <v>303</v>
      </c>
    </row>
    <row r="131">
      <c r="A131" s="56">
        <v>9.02</v>
      </c>
      <c r="B131" s="58" t="s">
        <v>614</v>
      </c>
      <c r="C131" s="58" t="s">
        <v>304</v>
      </c>
    </row>
    <row r="132">
      <c r="A132" s="56">
        <v>9.02</v>
      </c>
      <c r="B132" s="58" t="s">
        <v>614</v>
      </c>
      <c r="C132" s="58" t="s">
        <v>305</v>
      </c>
    </row>
    <row r="133">
      <c r="A133" s="56">
        <v>9.03</v>
      </c>
      <c r="B133" s="57" t="s">
        <v>615</v>
      </c>
      <c r="C133" s="58" t="s">
        <v>306</v>
      </c>
    </row>
    <row r="134">
      <c r="A134" s="56">
        <v>9.04</v>
      </c>
      <c r="B134" s="57" t="s">
        <v>616</v>
      </c>
      <c r="C134" s="58" t="s">
        <v>307</v>
      </c>
    </row>
    <row r="135">
      <c r="A135" s="56">
        <v>9.04</v>
      </c>
      <c r="B135" s="57" t="s">
        <v>616</v>
      </c>
      <c r="C135" s="58" t="s">
        <v>308</v>
      </c>
    </row>
    <row r="136">
      <c r="A136" s="56">
        <v>9.04</v>
      </c>
      <c r="B136" s="57" t="s">
        <v>616</v>
      </c>
      <c r="C136" s="58" t="s">
        <v>309</v>
      </c>
    </row>
    <row r="137">
      <c r="A137" s="56">
        <v>9.05</v>
      </c>
      <c r="B137" s="57" t="s">
        <v>617</v>
      </c>
      <c r="C137" s="58" t="s">
        <v>310</v>
      </c>
    </row>
    <row r="138">
      <c r="A138" s="56">
        <v>9.05</v>
      </c>
      <c r="B138" s="57" t="s">
        <v>617</v>
      </c>
      <c r="C138" s="58" t="s">
        <v>311</v>
      </c>
    </row>
    <row r="139">
      <c r="A139" s="56">
        <v>9.05</v>
      </c>
      <c r="B139" s="57" t="s">
        <v>617</v>
      </c>
      <c r="C139" s="58" t="s">
        <v>312</v>
      </c>
    </row>
    <row r="140">
      <c r="A140" s="56">
        <v>9.05</v>
      </c>
      <c r="B140" s="57" t="s">
        <v>617</v>
      </c>
      <c r="C140" s="58" t="s">
        <v>313</v>
      </c>
    </row>
    <row r="141">
      <c r="A141" s="56">
        <v>9.05</v>
      </c>
      <c r="B141" s="57" t="s">
        <v>617</v>
      </c>
      <c r="C141" s="58" t="s">
        <v>314</v>
      </c>
    </row>
    <row r="142">
      <c r="A142" s="56">
        <v>9.05</v>
      </c>
      <c r="B142" s="57" t="s">
        <v>617</v>
      </c>
      <c r="C142" s="58" t="s">
        <v>315</v>
      </c>
    </row>
    <row r="143">
      <c r="A143" s="56">
        <v>9.05</v>
      </c>
      <c r="B143" s="57" t="s">
        <v>617</v>
      </c>
      <c r="C143" s="58" t="s">
        <v>316</v>
      </c>
    </row>
    <row r="144">
      <c r="A144" s="56">
        <v>9.06</v>
      </c>
      <c r="B144" s="57" t="s">
        <v>618</v>
      </c>
      <c r="C144" s="58" t="s">
        <v>317</v>
      </c>
    </row>
    <row r="145">
      <c r="A145" s="56">
        <v>9.07</v>
      </c>
      <c r="B145" s="57" t="s">
        <v>619</v>
      </c>
      <c r="C145" s="58" t="s">
        <v>318</v>
      </c>
    </row>
    <row r="146">
      <c r="A146" s="56">
        <v>9.07</v>
      </c>
      <c r="B146" s="60" t="s">
        <v>619</v>
      </c>
      <c r="C146" s="58" t="s">
        <v>319</v>
      </c>
    </row>
    <row r="147">
      <c r="A147" s="56">
        <v>9.07</v>
      </c>
      <c r="B147" s="57" t="s">
        <v>619</v>
      </c>
      <c r="C147" s="58" t="s">
        <v>320</v>
      </c>
    </row>
    <row r="148">
      <c r="A148" s="56">
        <v>9.07</v>
      </c>
      <c r="B148" s="58" t="s">
        <v>619</v>
      </c>
      <c r="C148" s="58" t="s">
        <v>321</v>
      </c>
    </row>
    <row r="149">
      <c r="A149" s="56">
        <v>9.08</v>
      </c>
      <c r="B149" s="57" t="s">
        <v>620</v>
      </c>
      <c r="C149" s="58" t="s">
        <v>322</v>
      </c>
    </row>
    <row r="150">
      <c r="A150" s="56">
        <v>9.08</v>
      </c>
      <c r="B150" s="57" t="s">
        <v>620</v>
      </c>
      <c r="C150" s="58" t="s">
        <v>323</v>
      </c>
    </row>
    <row r="151">
      <c r="A151" s="56">
        <v>9.08</v>
      </c>
      <c r="B151" s="57" t="s">
        <v>620</v>
      </c>
      <c r="C151" s="58" t="s">
        <v>324</v>
      </c>
    </row>
    <row r="152">
      <c r="A152" s="56">
        <v>9.08</v>
      </c>
      <c r="B152" s="58" t="s">
        <v>620</v>
      </c>
      <c r="C152" s="58" t="s">
        <v>325</v>
      </c>
    </row>
    <row r="153">
      <c r="A153" s="56">
        <v>9.09</v>
      </c>
      <c r="B153" s="57" t="s">
        <v>621</v>
      </c>
      <c r="C153" s="58" t="s">
        <v>326</v>
      </c>
    </row>
    <row r="154">
      <c r="A154" s="56">
        <v>9.09</v>
      </c>
      <c r="B154" s="57" t="s">
        <v>621</v>
      </c>
      <c r="C154" s="58" t="s">
        <v>327</v>
      </c>
    </row>
    <row r="155">
      <c r="A155" s="56">
        <v>9.09</v>
      </c>
      <c r="B155" s="57" t="s">
        <v>621</v>
      </c>
      <c r="C155" s="58" t="s">
        <v>328</v>
      </c>
    </row>
    <row r="156">
      <c r="A156" s="56">
        <v>9.09</v>
      </c>
      <c r="B156" s="57" t="s">
        <v>621</v>
      </c>
      <c r="C156" s="58" t="s">
        <v>329</v>
      </c>
    </row>
    <row r="157">
      <c r="A157" s="56">
        <v>9.09</v>
      </c>
      <c r="B157" s="57" t="s">
        <v>621</v>
      </c>
      <c r="C157" s="58" t="s">
        <v>330</v>
      </c>
    </row>
    <row r="158">
      <c r="A158" s="56">
        <v>9.09</v>
      </c>
      <c r="B158" s="57" t="s">
        <v>621</v>
      </c>
      <c r="C158" s="58" t="s">
        <v>331</v>
      </c>
    </row>
    <row r="159">
      <c r="A159" s="56">
        <v>9.09</v>
      </c>
      <c r="B159" s="58" t="s">
        <v>621</v>
      </c>
      <c r="C159" s="58" t="s">
        <v>332</v>
      </c>
    </row>
    <row r="160">
      <c r="A160" s="56">
        <v>9.1</v>
      </c>
      <c r="B160" s="57" t="s">
        <v>622</v>
      </c>
      <c r="C160" s="58" t="s">
        <v>333</v>
      </c>
    </row>
    <row r="161">
      <c r="A161" s="56">
        <v>9.1</v>
      </c>
      <c r="B161" s="57" t="s">
        <v>622</v>
      </c>
      <c r="C161" s="58" t="s">
        <v>334</v>
      </c>
    </row>
    <row r="162">
      <c r="A162" s="56">
        <v>9.1</v>
      </c>
      <c r="B162" s="61" t="s">
        <v>622</v>
      </c>
      <c r="C162" s="58" t="s">
        <v>335</v>
      </c>
    </row>
    <row r="163">
      <c r="A163" s="56">
        <v>9.1</v>
      </c>
      <c r="B163" s="58" t="s">
        <v>622</v>
      </c>
      <c r="C163" s="58" t="s">
        <v>336</v>
      </c>
    </row>
    <row r="164">
      <c r="A164" s="56">
        <v>9.11</v>
      </c>
      <c r="B164" s="57" t="s">
        <v>623</v>
      </c>
      <c r="C164" s="58" t="s">
        <v>337</v>
      </c>
    </row>
    <row r="165">
      <c r="A165" s="56">
        <v>9.11</v>
      </c>
      <c r="B165" s="57" t="s">
        <v>623</v>
      </c>
      <c r="C165" s="58" t="s">
        <v>338</v>
      </c>
    </row>
    <row r="166">
      <c r="A166" s="56">
        <v>9.11</v>
      </c>
      <c r="B166" s="57" t="s">
        <v>623</v>
      </c>
      <c r="C166" s="58" t="s">
        <v>339</v>
      </c>
    </row>
    <row r="167">
      <c r="A167" s="56">
        <v>9.11</v>
      </c>
      <c r="B167" s="58" t="s">
        <v>623</v>
      </c>
      <c r="C167" s="58" t="s">
        <v>343</v>
      </c>
    </row>
    <row r="168">
      <c r="A168" s="56">
        <v>9.11</v>
      </c>
      <c r="B168" s="58" t="s">
        <v>623</v>
      </c>
      <c r="C168" s="58" t="s">
        <v>340</v>
      </c>
    </row>
    <row r="169">
      <c r="A169" s="56">
        <v>9.11</v>
      </c>
      <c r="B169" s="58" t="s">
        <v>623</v>
      </c>
      <c r="C169" s="58" t="s">
        <v>341</v>
      </c>
    </row>
    <row r="170">
      <c r="A170" s="56">
        <v>9.11</v>
      </c>
      <c r="B170" s="58" t="s">
        <v>623</v>
      </c>
      <c r="C170" s="58" t="s">
        <v>342</v>
      </c>
    </row>
    <row r="171">
      <c r="A171" s="56">
        <v>9.12</v>
      </c>
      <c r="B171" s="57" t="s">
        <v>624</v>
      </c>
      <c r="C171" s="58" t="s">
        <v>344</v>
      </c>
    </row>
    <row r="172">
      <c r="A172" s="56">
        <v>9.13</v>
      </c>
      <c r="B172" s="57" t="s">
        <v>625</v>
      </c>
      <c r="C172" s="58" t="s">
        <v>345</v>
      </c>
    </row>
    <row r="173">
      <c r="A173" s="56">
        <v>9.13</v>
      </c>
      <c r="B173" s="57" t="s">
        <v>625</v>
      </c>
      <c r="C173" s="58" t="s">
        <v>346</v>
      </c>
    </row>
    <row r="174">
      <c r="A174" s="56">
        <v>9.13</v>
      </c>
      <c r="B174" s="57" t="s">
        <v>625</v>
      </c>
      <c r="C174" s="58" t="s">
        <v>347</v>
      </c>
    </row>
    <row r="175">
      <c r="A175" s="56">
        <v>9.14</v>
      </c>
      <c r="B175" s="57" t="s">
        <v>626</v>
      </c>
      <c r="C175" s="58" t="s">
        <v>348</v>
      </c>
    </row>
    <row r="176">
      <c r="A176" s="56">
        <v>9.14</v>
      </c>
      <c r="B176" s="57" t="s">
        <v>626</v>
      </c>
      <c r="C176" s="58" t="s">
        <v>349</v>
      </c>
    </row>
    <row r="177">
      <c r="A177" s="56">
        <v>9.14</v>
      </c>
      <c r="B177" s="57" t="s">
        <v>626</v>
      </c>
      <c r="C177" s="58" t="s">
        <v>350</v>
      </c>
    </row>
    <row r="178">
      <c r="A178" s="56">
        <v>9.14</v>
      </c>
      <c r="B178" s="57" t="s">
        <v>626</v>
      </c>
      <c r="C178" s="58" t="s">
        <v>351</v>
      </c>
    </row>
    <row r="179">
      <c r="A179" s="56">
        <v>9.15</v>
      </c>
      <c r="B179" s="57" t="s">
        <v>627</v>
      </c>
      <c r="C179" s="58" t="s">
        <v>352</v>
      </c>
    </row>
    <row r="180">
      <c r="A180" s="56">
        <v>9.15</v>
      </c>
      <c r="B180" s="57" t="s">
        <v>627</v>
      </c>
      <c r="C180" s="58" t="s">
        <v>353</v>
      </c>
    </row>
    <row r="181">
      <c r="A181" s="56">
        <v>9.15</v>
      </c>
      <c r="B181" s="57" t="s">
        <v>627</v>
      </c>
      <c r="C181" s="58" t="s">
        <v>287</v>
      </c>
    </row>
    <row r="182">
      <c r="A182" s="56">
        <v>9.15</v>
      </c>
      <c r="B182" s="58" t="s">
        <v>627</v>
      </c>
      <c r="C182" s="58" t="s">
        <v>354</v>
      </c>
    </row>
    <row r="183">
      <c r="A183" s="56">
        <v>9.16</v>
      </c>
      <c r="B183" s="57" t="s">
        <v>628</v>
      </c>
      <c r="C183" s="58" t="s">
        <v>355</v>
      </c>
    </row>
    <row r="184">
      <c r="A184" s="56">
        <v>9.16</v>
      </c>
      <c r="B184" s="57" t="s">
        <v>628</v>
      </c>
      <c r="C184" s="58" t="s">
        <v>356</v>
      </c>
    </row>
    <row r="185">
      <c r="A185" s="56">
        <v>9.16</v>
      </c>
      <c r="B185" s="57" t="s">
        <v>628</v>
      </c>
      <c r="C185" s="58" t="s">
        <v>357</v>
      </c>
    </row>
    <row r="186">
      <c r="A186" s="56">
        <v>9.16</v>
      </c>
      <c r="B186" s="58" t="s">
        <v>628</v>
      </c>
      <c r="C186" s="58" t="s">
        <v>358</v>
      </c>
    </row>
    <row r="187">
      <c r="A187" s="56">
        <v>9.17</v>
      </c>
      <c r="B187" s="57" t="s">
        <v>629</v>
      </c>
      <c r="C187" s="58" t="s">
        <v>359</v>
      </c>
    </row>
    <row r="188">
      <c r="A188" s="56">
        <v>9.17</v>
      </c>
      <c r="B188" s="57" t="s">
        <v>629</v>
      </c>
      <c r="C188" s="58" t="s">
        <v>360</v>
      </c>
    </row>
    <row r="189">
      <c r="A189" s="56">
        <v>9.17</v>
      </c>
      <c r="B189" s="57" t="s">
        <v>629</v>
      </c>
      <c r="C189" s="58" t="s">
        <v>361</v>
      </c>
    </row>
    <row r="190">
      <c r="A190" s="56">
        <v>9.18</v>
      </c>
      <c r="B190" s="57" t="s">
        <v>622</v>
      </c>
      <c r="C190" s="58" t="s">
        <v>362</v>
      </c>
    </row>
    <row r="191">
      <c r="A191" s="56">
        <v>9.18</v>
      </c>
      <c r="B191" s="57" t="s">
        <v>622</v>
      </c>
      <c r="C191" s="58" t="s">
        <v>364</v>
      </c>
    </row>
    <row r="192">
      <c r="A192" s="56">
        <v>9.18</v>
      </c>
      <c r="B192" s="61" t="s">
        <v>622</v>
      </c>
      <c r="C192" s="58" t="s">
        <v>365</v>
      </c>
    </row>
    <row r="193">
      <c r="A193" s="56">
        <v>9.18</v>
      </c>
      <c r="B193" s="58" t="s">
        <v>622</v>
      </c>
      <c r="C193" s="58" t="s">
        <v>366</v>
      </c>
    </row>
    <row r="194">
      <c r="A194" s="56">
        <v>9.18</v>
      </c>
      <c r="B194" s="57" t="s">
        <v>630</v>
      </c>
      <c r="C194" s="58" t="s">
        <v>363</v>
      </c>
    </row>
    <row r="195">
      <c r="A195" s="56">
        <v>9.19</v>
      </c>
      <c r="B195" s="57" t="s">
        <v>631</v>
      </c>
      <c r="C195" s="58" t="s">
        <v>367</v>
      </c>
    </row>
    <row r="196">
      <c r="A196" s="56">
        <v>9.2</v>
      </c>
      <c r="B196" s="57" t="s">
        <v>632</v>
      </c>
      <c r="C196" s="58" t="s">
        <v>368</v>
      </c>
    </row>
    <row r="197">
      <c r="A197" s="56">
        <v>9.21</v>
      </c>
      <c r="B197" s="57" t="s">
        <v>633</v>
      </c>
      <c r="C197" s="58" t="s">
        <v>369</v>
      </c>
    </row>
    <row r="198">
      <c r="A198" s="56">
        <v>9.21</v>
      </c>
      <c r="B198" s="57" t="s">
        <v>633</v>
      </c>
      <c r="C198" s="58" t="s">
        <v>370</v>
      </c>
    </row>
    <row r="199">
      <c r="A199" s="56">
        <v>9.21</v>
      </c>
      <c r="B199" s="57" t="s">
        <v>633</v>
      </c>
      <c r="C199" s="58" t="s">
        <v>371</v>
      </c>
    </row>
    <row r="200">
      <c r="A200" s="56">
        <v>9.22</v>
      </c>
      <c r="B200" s="57" t="s">
        <v>634</v>
      </c>
      <c r="C200" s="58" t="s">
        <v>372</v>
      </c>
    </row>
    <row r="201">
      <c r="A201" s="56">
        <v>9.22</v>
      </c>
      <c r="B201" s="57" t="s">
        <v>634</v>
      </c>
      <c r="C201" s="58" t="s">
        <v>373</v>
      </c>
    </row>
    <row r="202">
      <c r="A202" s="56">
        <v>9.22</v>
      </c>
      <c r="B202" s="58" t="s">
        <v>634</v>
      </c>
      <c r="C202" s="58" t="s">
        <v>374</v>
      </c>
    </row>
    <row r="203">
      <c r="A203" s="56">
        <v>9.23</v>
      </c>
      <c r="B203" s="57" t="s">
        <v>635</v>
      </c>
      <c r="C203" s="58" t="s">
        <v>375</v>
      </c>
    </row>
    <row r="204">
      <c r="A204" s="56">
        <v>9.23</v>
      </c>
      <c r="B204" s="57" t="s">
        <v>635</v>
      </c>
      <c r="C204" s="58" t="s">
        <v>376</v>
      </c>
    </row>
    <row r="205">
      <c r="A205" s="56">
        <v>9.23</v>
      </c>
      <c r="B205" s="57" t="s">
        <v>635</v>
      </c>
      <c r="C205" s="58" t="s">
        <v>377</v>
      </c>
    </row>
    <row r="206">
      <c r="A206" s="56">
        <v>9.23</v>
      </c>
      <c r="B206" s="57" t="s">
        <v>635</v>
      </c>
      <c r="C206" s="58" t="s">
        <v>378</v>
      </c>
    </row>
    <row r="207">
      <c r="A207" s="56">
        <v>9.23</v>
      </c>
      <c r="B207" s="57" t="s">
        <v>635</v>
      </c>
      <c r="C207" s="58" t="s">
        <v>379</v>
      </c>
    </row>
    <row r="208">
      <c r="A208" s="56">
        <v>9.24</v>
      </c>
      <c r="B208" s="57" t="s">
        <v>636</v>
      </c>
      <c r="C208" s="58" t="s">
        <v>380</v>
      </c>
    </row>
    <row r="209">
      <c r="A209" s="56">
        <v>9.25</v>
      </c>
      <c r="B209" s="57" t="s">
        <v>637</v>
      </c>
      <c r="C209" s="58" t="s">
        <v>381</v>
      </c>
    </row>
    <row r="210">
      <c r="A210" s="56">
        <v>9.26</v>
      </c>
      <c r="B210" s="60" t="s">
        <v>633</v>
      </c>
      <c r="C210" s="58" t="s">
        <v>382</v>
      </c>
    </row>
    <row r="211">
      <c r="A211" s="56">
        <v>9.26</v>
      </c>
      <c r="B211" s="57" t="s">
        <v>633</v>
      </c>
      <c r="C211" s="58" t="s">
        <v>384</v>
      </c>
    </row>
    <row r="212">
      <c r="A212" s="56">
        <v>9.26</v>
      </c>
      <c r="B212" s="57" t="s">
        <v>638</v>
      </c>
      <c r="C212" s="58" t="s">
        <v>383</v>
      </c>
    </row>
    <row r="213">
      <c r="A213" s="56">
        <v>9.27</v>
      </c>
      <c r="B213" s="57" t="s">
        <v>639</v>
      </c>
      <c r="C213" s="58" t="s">
        <v>385</v>
      </c>
    </row>
    <row r="214">
      <c r="A214" s="56">
        <v>9.27</v>
      </c>
      <c r="B214" s="57" t="s">
        <v>640</v>
      </c>
      <c r="C214" s="58" t="s">
        <v>386</v>
      </c>
    </row>
    <row r="215">
      <c r="A215" s="56">
        <v>9.28</v>
      </c>
      <c r="B215" s="57" t="s">
        <v>641</v>
      </c>
      <c r="C215" s="58" t="s">
        <v>387</v>
      </c>
    </row>
    <row r="216">
      <c r="A216" s="56">
        <v>9.28</v>
      </c>
      <c r="B216" s="57" t="s">
        <v>641</v>
      </c>
      <c r="C216" s="58" t="s">
        <v>388</v>
      </c>
    </row>
    <row r="217">
      <c r="A217" s="56">
        <v>9.28</v>
      </c>
      <c r="B217" s="57" t="s">
        <v>641</v>
      </c>
      <c r="C217" s="58" t="s">
        <v>389</v>
      </c>
    </row>
    <row r="218">
      <c r="A218" s="56">
        <v>9.28</v>
      </c>
      <c r="B218" s="57" t="s">
        <v>641</v>
      </c>
      <c r="C218" s="58" t="s">
        <v>390</v>
      </c>
    </row>
    <row r="219">
      <c r="A219" s="56">
        <v>9.29</v>
      </c>
      <c r="B219" s="57" t="s">
        <v>642</v>
      </c>
      <c r="C219" s="58" t="s">
        <v>391</v>
      </c>
    </row>
    <row r="220">
      <c r="A220" s="56">
        <v>9.29</v>
      </c>
      <c r="B220" s="57" t="s">
        <v>642</v>
      </c>
      <c r="C220" s="58" t="s">
        <v>392</v>
      </c>
    </row>
    <row r="221">
      <c r="A221" s="56">
        <v>9.29</v>
      </c>
      <c r="B221" s="60" t="s">
        <v>642</v>
      </c>
      <c r="C221" s="58" t="s">
        <v>394</v>
      </c>
    </row>
    <row r="222">
      <c r="A222" s="56">
        <v>9.29</v>
      </c>
      <c r="B222" s="57" t="s">
        <v>640</v>
      </c>
      <c r="C222" s="58" t="s">
        <v>393</v>
      </c>
    </row>
    <row r="223">
      <c r="A223" s="56">
        <v>9.3</v>
      </c>
      <c r="B223" s="57" t="s">
        <v>633</v>
      </c>
      <c r="C223" s="58" t="s">
        <v>395</v>
      </c>
    </row>
    <row r="224">
      <c r="A224" s="56">
        <v>9.3</v>
      </c>
      <c r="B224" s="57" t="s">
        <v>633</v>
      </c>
      <c r="C224" s="58" t="s">
        <v>396</v>
      </c>
    </row>
    <row r="225">
      <c r="A225" s="56">
        <v>9.3</v>
      </c>
      <c r="B225" s="57" t="s">
        <v>633</v>
      </c>
      <c r="C225" s="58" t="s">
        <v>397</v>
      </c>
    </row>
    <row r="226">
      <c r="A226" s="56">
        <v>9.3</v>
      </c>
      <c r="B226" s="61" t="s">
        <v>633</v>
      </c>
      <c r="C226" s="58" t="s">
        <v>398</v>
      </c>
    </row>
    <row r="227">
      <c r="A227" s="54">
        <v>10.0</v>
      </c>
      <c r="B227" s="55" t="s">
        <v>643</v>
      </c>
      <c r="C227" s="55" t="s">
        <v>644</v>
      </c>
    </row>
    <row r="228">
      <c r="A228" s="54">
        <v>10.0</v>
      </c>
      <c r="B228" s="55" t="s">
        <v>643</v>
      </c>
      <c r="C228" s="55" t="s">
        <v>399</v>
      </c>
    </row>
    <row r="229">
      <c r="A229" s="54">
        <v>10.0</v>
      </c>
      <c r="B229" s="55" t="s">
        <v>643</v>
      </c>
      <c r="C229" s="55" t="s">
        <v>400</v>
      </c>
    </row>
    <row r="230">
      <c r="A230" s="54">
        <v>10.0</v>
      </c>
      <c r="B230" s="55" t="s">
        <v>643</v>
      </c>
      <c r="C230" s="55" t="s">
        <v>645</v>
      </c>
    </row>
    <row r="231">
      <c r="A231" s="54">
        <v>10.0</v>
      </c>
      <c r="B231" s="55" t="s">
        <v>643</v>
      </c>
      <c r="C231" s="55" t="s">
        <v>646</v>
      </c>
    </row>
    <row r="232">
      <c r="A232" s="54">
        <v>10.0</v>
      </c>
      <c r="B232" s="55" t="s">
        <v>643</v>
      </c>
      <c r="C232" s="55" t="s">
        <v>647</v>
      </c>
    </row>
    <row r="233">
      <c r="A233" s="54">
        <v>11.0</v>
      </c>
      <c r="B233" s="55" t="s">
        <v>648</v>
      </c>
      <c r="C233" s="55" t="s">
        <v>401</v>
      </c>
    </row>
    <row r="234">
      <c r="A234" s="54">
        <v>11.0</v>
      </c>
      <c r="B234" s="55" t="s">
        <v>648</v>
      </c>
      <c r="C234" s="55" t="s">
        <v>402</v>
      </c>
    </row>
    <row r="235">
      <c r="A235" s="54">
        <v>11.0</v>
      </c>
      <c r="B235" s="55" t="s">
        <v>648</v>
      </c>
      <c r="C235" s="55" t="s">
        <v>649</v>
      </c>
    </row>
    <row r="236">
      <c r="A236" s="54">
        <v>11.0</v>
      </c>
      <c r="B236" s="55" t="s">
        <v>648</v>
      </c>
      <c r="C236" s="55" t="s">
        <v>148</v>
      </c>
    </row>
  </sheetData>
  <drawing r:id="rId1"/>
</worksheet>
</file>

<file path=xl/worksheets/sheet6.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tabColor rgb="FF00FF00"/>
    <outlinePr summaryBelow="0" summaryRight="0"/>
  </sheetPr>
  <sheetViews>
    <sheetView workbookViewId="0">
      <pane ySplit="1.0" topLeftCell="A2" activePane="bottomLeft" state="frozen"/>
      <selection activeCell="B3" sqref="B3" pane="bottomLeft"/>
    </sheetView>
  </sheetViews>
  <sheetFormatPr customHeight="1" defaultColWidth="12.63" defaultRowHeight="15.75"/>
  <cols>
    <col customWidth="1" min="1" max="1" width="5.38"/>
    <col customWidth="1" min="2" max="2" width="24.25"/>
  </cols>
  <sheetData>
    <row r="1">
      <c r="A1" s="51" t="s">
        <v>650</v>
      </c>
      <c r="B1" s="51" t="s">
        <v>404</v>
      </c>
    </row>
    <row r="2">
      <c r="A2" s="53"/>
      <c r="B2" s="51" t="s">
        <v>254</v>
      </c>
    </row>
    <row r="3">
      <c r="A3" s="53"/>
      <c r="B3" s="51" t="s">
        <v>307</v>
      </c>
    </row>
    <row r="4">
      <c r="A4" s="53"/>
      <c r="B4" s="51" t="s">
        <v>310</v>
      </c>
    </row>
    <row r="5">
      <c r="A5" s="53"/>
      <c r="B5" s="51" t="s">
        <v>284</v>
      </c>
    </row>
    <row r="6">
      <c r="A6" s="53"/>
      <c r="B6" s="51" t="s">
        <v>598</v>
      </c>
    </row>
    <row r="7">
      <c r="A7" s="53"/>
      <c r="B7" s="51" t="s">
        <v>644</v>
      </c>
    </row>
    <row r="8">
      <c r="A8" s="53"/>
      <c r="B8" s="51" t="s">
        <v>549</v>
      </c>
    </row>
    <row r="9">
      <c r="A9" s="53"/>
      <c r="B9" s="51" t="s">
        <v>569</v>
      </c>
    </row>
    <row r="10">
      <c r="A10" s="53"/>
      <c r="B10" s="51" t="s">
        <v>599</v>
      </c>
    </row>
    <row r="11">
      <c r="A11" s="53"/>
      <c r="B11" s="51" t="s">
        <v>600</v>
      </c>
    </row>
    <row r="12">
      <c r="A12" s="53"/>
      <c r="B12" s="51" t="s">
        <v>570</v>
      </c>
    </row>
    <row r="13">
      <c r="A13" s="53"/>
      <c r="B13" s="51" t="s">
        <v>561</v>
      </c>
    </row>
    <row r="14">
      <c r="A14" s="53"/>
      <c r="B14" s="51" t="s">
        <v>585</v>
      </c>
    </row>
    <row r="15">
      <c r="A15" s="53"/>
      <c r="B15" s="51" t="s">
        <v>318</v>
      </c>
    </row>
    <row r="16">
      <c r="A16" s="53"/>
      <c r="B16" s="51" t="s">
        <v>322</v>
      </c>
    </row>
    <row r="17">
      <c r="A17" s="53"/>
      <c r="B17" s="51" t="s">
        <v>367</v>
      </c>
    </row>
    <row r="18">
      <c r="A18" s="53"/>
      <c r="B18" s="51" t="s">
        <v>359</v>
      </c>
    </row>
    <row r="19">
      <c r="A19" s="53"/>
      <c r="B19" s="51" t="s">
        <v>326</v>
      </c>
    </row>
    <row r="20">
      <c r="A20" s="53"/>
      <c r="B20" s="51" t="s">
        <v>651</v>
      </c>
    </row>
    <row r="21">
      <c r="A21" s="53"/>
      <c r="B21" s="51" t="s">
        <v>355</v>
      </c>
    </row>
    <row r="22">
      <c r="A22" s="53"/>
      <c r="B22" s="51" t="s">
        <v>265</v>
      </c>
    </row>
    <row r="23">
      <c r="A23" s="53"/>
      <c r="B23" s="51" t="s">
        <v>319</v>
      </c>
    </row>
    <row r="24">
      <c r="A24" s="53"/>
      <c r="B24" s="51" t="s">
        <v>323</v>
      </c>
    </row>
    <row r="25">
      <c r="A25" s="53"/>
      <c r="B25" s="51" t="s">
        <v>652</v>
      </c>
    </row>
    <row r="26">
      <c r="A26" s="53"/>
      <c r="B26" s="51" t="s">
        <v>360</v>
      </c>
    </row>
    <row r="27">
      <c r="A27" s="53"/>
      <c r="B27" s="51" t="s">
        <v>327</v>
      </c>
    </row>
    <row r="28">
      <c r="A28" s="53"/>
      <c r="B28" s="51" t="s">
        <v>375</v>
      </c>
    </row>
    <row r="29">
      <c r="A29" s="53"/>
      <c r="B29" s="51" t="s">
        <v>356</v>
      </c>
    </row>
    <row r="30">
      <c r="A30" s="53"/>
      <c r="B30" s="51" t="s">
        <v>245</v>
      </c>
    </row>
    <row r="31">
      <c r="A31" s="53"/>
      <c r="B31" s="51" t="s">
        <v>362</v>
      </c>
    </row>
    <row r="32">
      <c r="A32" s="53"/>
      <c r="B32" s="51" t="s">
        <v>333</v>
      </c>
    </row>
    <row r="33">
      <c r="A33" s="53"/>
      <c r="B33" s="51" t="s">
        <v>369</v>
      </c>
    </row>
    <row r="34">
      <c r="A34" s="53"/>
      <c r="B34" s="51" t="s">
        <v>382</v>
      </c>
    </row>
    <row r="35">
      <c r="A35" s="53"/>
      <c r="B35" s="51" t="s">
        <v>292</v>
      </c>
    </row>
    <row r="36">
      <c r="A36" s="53"/>
      <c r="B36" s="51" t="s">
        <v>320</v>
      </c>
    </row>
    <row r="37">
      <c r="A37" s="53"/>
      <c r="B37" s="51" t="s">
        <v>550</v>
      </c>
    </row>
    <row r="38">
      <c r="A38" s="53"/>
      <c r="B38" s="51" t="s">
        <v>653</v>
      </c>
    </row>
    <row r="39">
      <c r="A39" s="53"/>
      <c r="B39" s="51" t="s">
        <v>293</v>
      </c>
    </row>
    <row r="40">
      <c r="A40" s="53"/>
      <c r="B40" s="51" t="s">
        <v>324</v>
      </c>
    </row>
    <row r="41">
      <c r="A41" s="53"/>
      <c r="B41" s="51" t="s">
        <v>607</v>
      </c>
    </row>
    <row r="42">
      <c r="A42" s="53"/>
      <c r="B42" s="51" t="s">
        <v>399</v>
      </c>
    </row>
    <row r="43">
      <c r="A43" s="53"/>
      <c r="B43" s="51" t="s">
        <v>237</v>
      </c>
    </row>
    <row r="44">
      <c r="A44" s="53"/>
      <c r="B44" s="51" t="s">
        <v>586</v>
      </c>
    </row>
    <row r="45">
      <c r="A45" s="53"/>
      <c r="B45" s="51" t="s">
        <v>337</v>
      </c>
    </row>
    <row r="46">
      <c r="A46" s="53"/>
      <c r="B46" s="51" t="s">
        <v>338</v>
      </c>
    </row>
    <row r="47">
      <c r="A47" s="53"/>
      <c r="B47" s="51" t="s">
        <v>339</v>
      </c>
    </row>
    <row r="48">
      <c r="A48" s="53"/>
      <c r="B48" s="51" t="s">
        <v>654</v>
      </c>
    </row>
    <row r="49">
      <c r="A49" s="53"/>
      <c r="B49" s="51" t="s">
        <v>587</v>
      </c>
    </row>
    <row r="50">
      <c r="A50" s="53"/>
      <c r="B50" s="51" t="s">
        <v>258</v>
      </c>
    </row>
    <row r="51">
      <c r="A51" s="53"/>
      <c r="B51" s="51" t="s">
        <v>238</v>
      </c>
    </row>
    <row r="52">
      <c r="A52" s="53"/>
      <c r="B52" s="51" t="s">
        <v>302</v>
      </c>
    </row>
    <row r="53">
      <c r="A53" s="53"/>
      <c r="B53" s="51" t="s">
        <v>266</v>
      </c>
    </row>
    <row r="54">
      <c r="A54" s="53"/>
      <c r="B54" s="51" t="s">
        <v>246</v>
      </c>
    </row>
    <row r="55">
      <c r="A55" s="53"/>
      <c r="B55" s="51" t="s">
        <v>255</v>
      </c>
    </row>
    <row r="56">
      <c r="A56" s="53"/>
      <c r="B56" s="51" t="s">
        <v>256</v>
      </c>
    </row>
    <row r="57">
      <c r="A57" s="53"/>
      <c r="B57" s="51" t="s">
        <v>231</v>
      </c>
    </row>
    <row r="58">
      <c r="A58" s="53"/>
      <c r="B58" s="51" t="s">
        <v>267</v>
      </c>
    </row>
    <row r="59">
      <c r="A59" s="53"/>
      <c r="B59" s="51" t="s">
        <v>285</v>
      </c>
    </row>
    <row r="60">
      <c r="A60" s="53"/>
      <c r="B60" s="51" t="s">
        <v>391</v>
      </c>
    </row>
    <row r="61">
      <c r="A61" s="53"/>
      <c r="B61" s="51" t="s">
        <v>348</v>
      </c>
    </row>
    <row r="62">
      <c r="A62" s="53"/>
      <c r="B62" s="51" t="s">
        <v>387</v>
      </c>
    </row>
    <row r="63">
      <c r="A63" s="53"/>
      <c r="B63" s="51" t="s">
        <v>268</v>
      </c>
    </row>
    <row r="64">
      <c r="A64" s="53"/>
      <c r="B64" s="51" t="s">
        <v>655</v>
      </c>
    </row>
    <row r="65">
      <c r="A65" s="53"/>
      <c r="B65" s="51" t="s">
        <v>311</v>
      </c>
    </row>
    <row r="66">
      <c r="A66" s="53"/>
      <c r="B66" s="51" t="s">
        <v>328</v>
      </c>
    </row>
    <row r="67">
      <c r="A67" s="53"/>
      <c r="B67" s="51" t="s">
        <v>376</v>
      </c>
    </row>
    <row r="68">
      <c r="A68" s="53"/>
      <c r="B68" s="51" t="s">
        <v>247</v>
      </c>
    </row>
    <row r="69">
      <c r="A69" s="53"/>
      <c r="B69" s="51" t="s">
        <v>571</v>
      </c>
    </row>
    <row r="70">
      <c r="A70" s="53"/>
      <c r="B70" s="51" t="s">
        <v>562</v>
      </c>
    </row>
    <row r="71">
      <c r="A71" s="53"/>
      <c r="B71" s="51" t="s">
        <v>269</v>
      </c>
    </row>
    <row r="72">
      <c r="A72" s="53"/>
      <c r="B72" s="51" t="s">
        <v>588</v>
      </c>
    </row>
    <row r="73">
      <c r="A73" s="53"/>
      <c r="B73" s="51" t="s">
        <v>392</v>
      </c>
    </row>
    <row r="74">
      <c r="A74" s="53"/>
      <c r="B74" s="51" t="s">
        <v>349</v>
      </c>
    </row>
    <row r="75">
      <c r="A75" s="53"/>
      <c r="B75" s="51" t="s">
        <v>388</v>
      </c>
    </row>
    <row r="76">
      <c r="A76" s="53"/>
      <c r="B76" s="51" t="s">
        <v>232</v>
      </c>
    </row>
    <row r="77">
      <c r="A77" s="53"/>
      <c r="B77" s="51" t="s">
        <v>656</v>
      </c>
    </row>
    <row r="78">
      <c r="A78" s="53"/>
      <c r="B78" s="51" t="s">
        <v>312</v>
      </c>
    </row>
    <row r="79">
      <c r="A79" s="53"/>
      <c r="B79" s="51" t="s">
        <v>352</v>
      </c>
    </row>
    <row r="80">
      <c r="A80" s="53"/>
      <c r="B80" s="51" t="s">
        <v>329</v>
      </c>
    </row>
    <row r="81">
      <c r="A81" s="53"/>
      <c r="B81" s="51" t="s">
        <v>377</v>
      </c>
    </row>
    <row r="82">
      <c r="A82" s="53"/>
      <c r="B82" s="51" t="s">
        <v>270</v>
      </c>
    </row>
    <row r="83">
      <c r="A83" s="53"/>
      <c r="B83" s="51" t="s">
        <v>551</v>
      </c>
    </row>
    <row r="84">
      <c r="A84" s="53"/>
      <c r="B84" s="51" t="s">
        <v>286</v>
      </c>
    </row>
    <row r="85">
      <c r="A85" s="53"/>
      <c r="B85" s="51" t="s">
        <v>572</v>
      </c>
    </row>
    <row r="86">
      <c r="A86" s="53"/>
      <c r="B86" s="51" t="s">
        <v>589</v>
      </c>
    </row>
    <row r="87">
      <c r="A87" s="53"/>
      <c r="B87" s="51" t="s">
        <v>370</v>
      </c>
    </row>
    <row r="88">
      <c r="A88" s="53"/>
      <c r="B88" s="51" t="s">
        <v>385</v>
      </c>
    </row>
    <row r="89">
      <c r="A89" s="53"/>
      <c r="B89" s="51" t="s">
        <v>294</v>
      </c>
    </row>
    <row r="90">
      <c r="A90" s="53"/>
      <c r="B90" s="51" t="s">
        <v>400</v>
      </c>
    </row>
    <row r="91">
      <c r="A91" s="53"/>
      <c r="B91" s="51" t="s">
        <v>380</v>
      </c>
    </row>
    <row r="92">
      <c r="A92" s="53"/>
      <c r="B92" s="51" t="s">
        <v>295</v>
      </c>
    </row>
    <row r="93">
      <c r="A93" s="53"/>
      <c r="B93" s="51" t="s">
        <v>313</v>
      </c>
    </row>
    <row r="94">
      <c r="A94" s="53"/>
      <c r="B94" s="51" t="s">
        <v>345</v>
      </c>
    </row>
    <row r="95">
      <c r="A95" s="53"/>
      <c r="B95" s="51" t="s">
        <v>346</v>
      </c>
    </row>
    <row r="96">
      <c r="A96" s="53"/>
      <c r="B96" s="51" t="s">
        <v>296</v>
      </c>
    </row>
    <row r="97">
      <c r="A97" s="53"/>
      <c r="B97" s="51" t="s">
        <v>347</v>
      </c>
    </row>
    <row r="98">
      <c r="A98" s="53"/>
      <c r="B98" s="51" t="s">
        <v>314</v>
      </c>
    </row>
    <row r="99">
      <c r="A99" s="53"/>
      <c r="B99" s="51" t="s">
        <v>259</v>
      </c>
    </row>
    <row r="100">
      <c r="A100" s="53"/>
      <c r="B100" s="51" t="s">
        <v>590</v>
      </c>
    </row>
    <row r="101">
      <c r="A101" s="53"/>
      <c r="B101" s="51" t="s">
        <v>552</v>
      </c>
    </row>
    <row r="102">
      <c r="A102" s="53"/>
      <c r="B102" s="51" t="s">
        <v>591</v>
      </c>
    </row>
    <row r="103">
      <c r="A103" s="53"/>
      <c r="B103" s="51" t="s">
        <v>592</v>
      </c>
    </row>
    <row r="104">
      <c r="A104" s="53"/>
      <c r="B104" s="51" t="s">
        <v>260</v>
      </c>
    </row>
    <row r="105">
      <c r="A105" s="53"/>
      <c r="B105" s="51" t="s">
        <v>271</v>
      </c>
    </row>
    <row r="106">
      <c r="A106" s="53"/>
      <c r="B106" s="51" t="s">
        <v>573</v>
      </c>
    </row>
    <row r="107">
      <c r="A107" s="53"/>
      <c r="B107" s="51" t="s">
        <v>601</v>
      </c>
    </row>
    <row r="108">
      <c r="A108" s="53"/>
      <c r="B108" s="51" t="s">
        <v>563</v>
      </c>
    </row>
    <row r="109">
      <c r="A109" s="53"/>
      <c r="B109" s="51" t="s">
        <v>272</v>
      </c>
    </row>
    <row r="110">
      <c r="A110" s="53"/>
      <c r="B110" s="51" t="s">
        <v>297</v>
      </c>
    </row>
    <row r="111">
      <c r="A111" s="53"/>
      <c r="B111" s="51" t="s">
        <v>657</v>
      </c>
    </row>
    <row r="112">
      <c r="A112" s="53"/>
      <c r="B112" s="51" t="s">
        <v>344</v>
      </c>
    </row>
    <row r="113">
      <c r="A113" s="53"/>
      <c r="B113" s="51" t="s">
        <v>383</v>
      </c>
    </row>
    <row r="114">
      <c r="A114" s="53"/>
      <c r="B114" s="51" t="s">
        <v>658</v>
      </c>
    </row>
    <row r="115">
      <c r="A115" s="53"/>
      <c r="B115" s="51" t="s">
        <v>298</v>
      </c>
    </row>
    <row r="116">
      <c r="A116" s="53"/>
      <c r="B116" s="51" t="s">
        <v>361</v>
      </c>
    </row>
    <row r="117">
      <c r="A117" s="53"/>
      <c r="B117" s="51" t="s">
        <v>273</v>
      </c>
    </row>
    <row r="118">
      <c r="A118" s="53"/>
      <c r="B118" s="51" t="s">
        <v>553</v>
      </c>
    </row>
    <row r="119">
      <c r="A119" s="53"/>
      <c r="B119" s="51" t="s">
        <v>645</v>
      </c>
    </row>
    <row r="120">
      <c r="A120" s="53"/>
      <c r="B120" s="51" t="s">
        <v>659</v>
      </c>
    </row>
    <row r="121">
      <c r="A121" s="53"/>
      <c r="B121" s="51" t="s">
        <v>564</v>
      </c>
    </row>
    <row r="122">
      <c r="A122" s="53"/>
      <c r="B122" s="51" t="s">
        <v>554</v>
      </c>
    </row>
    <row r="123">
      <c r="A123" s="53"/>
      <c r="B123" s="51" t="s">
        <v>261</v>
      </c>
    </row>
    <row r="124">
      <c r="A124" s="53"/>
      <c r="B124" s="51" t="s">
        <v>574</v>
      </c>
    </row>
    <row r="125">
      <c r="A125" s="53"/>
      <c r="B125" s="51" t="s">
        <v>233</v>
      </c>
    </row>
    <row r="126">
      <c r="A126" s="53"/>
      <c r="B126" s="51" t="s">
        <v>660</v>
      </c>
    </row>
    <row r="127">
      <c r="A127" s="53"/>
      <c r="B127" s="51" t="s">
        <v>315</v>
      </c>
    </row>
    <row r="128">
      <c r="A128" s="53"/>
      <c r="B128" s="51" t="s">
        <v>353</v>
      </c>
    </row>
    <row r="129">
      <c r="A129" s="53"/>
      <c r="B129" s="51" t="s">
        <v>330</v>
      </c>
    </row>
    <row r="130">
      <c r="A130" s="53"/>
      <c r="B130" s="51" t="s">
        <v>378</v>
      </c>
    </row>
    <row r="131">
      <c r="A131" s="53"/>
      <c r="B131" s="51" t="s">
        <v>608</v>
      </c>
    </row>
    <row r="132">
      <c r="A132" s="53"/>
      <c r="B132" s="51" t="s">
        <v>565</v>
      </c>
    </row>
    <row r="133">
      <c r="A133" s="53"/>
      <c r="B133" s="51" t="s">
        <v>308</v>
      </c>
    </row>
    <row r="134">
      <c r="A134" s="53"/>
      <c r="B134" s="51" t="s">
        <v>316</v>
      </c>
    </row>
    <row r="135">
      <c r="A135" s="53"/>
      <c r="B135" s="51" t="s">
        <v>646</v>
      </c>
    </row>
    <row r="136">
      <c r="A136" s="53"/>
      <c r="B136" s="51" t="s">
        <v>575</v>
      </c>
    </row>
    <row r="137">
      <c r="A137" s="53"/>
      <c r="B137" s="51" t="s">
        <v>401</v>
      </c>
    </row>
    <row r="138">
      <c r="A138" s="53"/>
      <c r="B138" s="51" t="s">
        <v>402</v>
      </c>
    </row>
    <row r="139">
      <c r="A139" s="53"/>
      <c r="B139" s="51" t="s">
        <v>350</v>
      </c>
    </row>
    <row r="140">
      <c r="A140" s="53"/>
      <c r="B140" s="51" t="s">
        <v>389</v>
      </c>
    </row>
    <row r="141">
      <c r="A141" s="53"/>
      <c r="B141" s="51" t="s">
        <v>393</v>
      </c>
    </row>
    <row r="142">
      <c r="A142" s="53"/>
      <c r="B142" s="51" t="s">
        <v>661</v>
      </c>
    </row>
    <row r="143">
      <c r="A143" s="53"/>
      <c r="B143" s="51" t="s">
        <v>331</v>
      </c>
    </row>
    <row r="144">
      <c r="A144" s="53"/>
      <c r="B144" s="51" t="s">
        <v>379</v>
      </c>
    </row>
    <row r="145">
      <c r="A145" s="53"/>
      <c r="B145" s="51" t="s">
        <v>386</v>
      </c>
    </row>
    <row r="146">
      <c r="A146" s="53"/>
      <c r="B146" s="51" t="s">
        <v>287</v>
      </c>
    </row>
    <row r="147">
      <c r="A147" s="53"/>
      <c r="B147" s="51" t="s">
        <v>299</v>
      </c>
    </row>
    <row r="148">
      <c r="A148" s="53"/>
      <c r="B148" s="51" t="s">
        <v>363</v>
      </c>
    </row>
    <row r="149">
      <c r="A149" s="53"/>
      <c r="B149" s="51" t="s">
        <v>364</v>
      </c>
    </row>
    <row r="150">
      <c r="A150" s="53"/>
      <c r="B150" s="51" t="s">
        <v>334</v>
      </c>
    </row>
    <row r="151">
      <c r="A151" s="53"/>
      <c r="B151" s="51" t="s">
        <v>234</v>
      </c>
    </row>
    <row r="152">
      <c r="A152" s="53"/>
      <c r="B152" s="51" t="s">
        <v>602</v>
      </c>
    </row>
    <row r="153">
      <c r="A153" s="53"/>
      <c r="B153" s="51" t="s">
        <v>603</v>
      </c>
    </row>
    <row r="154">
      <c r="A154" s="53"/>
      <c r="B154" s="51" t="s">
        <v>248</v>
      </c>
    </row>
    <row r="155">
      <c r="A155" s="53"/>
      <c r="B155" s="51" t="s">
        <v>384</v>
      </c>
    </row>
    <row r="156">
      <c r="A156" s="53"/>
      <c r="B156" s="51" t="s">
        <v>300</v>
      </c>
    </row>
    <row r="157">
      <c r="A157" s="53"/>
      <c r="B157" s="51" t="s">
        <v>357</v>
      </c>
    </row>
    <row r="158">
      <c r="A158" s="53"/>
      <c r="B158" s="51" t="s">
        <v>317</v>
      </c>
    </row>
    <row r="159">
      <c r="A159" s="53"/>
      <c r="B159" s="51" t="s">
        <v>301</v>
      </c>
    </row>
    <row r="160">
      <c r="A160" s="53"/>
      <c r="B160" s="51" t="s">
        <v>368</v>
      </c>
    </row>
    <row r="161">
      <c r="A161" s="53"/>
      <c r="B161" s="51" t="s">
        <v>593</v>
      </c>
    </row>
    <row r="162">
      <c r="A162" s="53"/>
      <c r="B162" s="51" t="s">
        <v>555</v>
      </c>
    </row>
    <row r="163">
      <c r="A163" s="53"/>
      <c r="B163" s="51" t="s">
        <v>394</v>
      </c>
    </row>
    <row r="164">
      <c r="A164" s="53"/>
      <c r="B164" s="51" t="s">
        <v>351</v>
      </c>
    </row>
    <row r="165">
      <c r="A165" s="53"/>
      <c r="B165" s="51" t="s">
        <v>390</v>
      </c>
    </row>
    <row r="166">
      <c r="A166" s="53"/>
      <c r="B166" s="51" t="s">
        <v>371</v>
      </c>
    </row>
    <row r="167">
      <c r="A167" s="53"/>
      <c r="B167" s="51" t="s">
        <v>306</v>
      </c>
    </row>
    <row r="168">
      <c r="A168" s="53"/>
      <c r="B168" s="51" t="s">
        <v>309</v>
      </c>
    </row>
    <row r="169">
      <c r="A169" s="53"/>
      <c r="B169" s="51" t="s">
        <v>381</v>
      </c>
    </row>
    <row r="170">
      <c r="A170" s="53"/>
      <c r="B170" s="51" t="s">
        <v>594</v>
      </c>
    </row>
    <row r="171">
      <c r="A171" s="53"/>
      <c r="B171" s="51" t="s">
        <v>288</v>
      </c>
    </row>
    <row r="172">
      <c r="A172" s="53"/>
      <c r="B172" s="51" t="s">
        <v>556</v>
      </c>
    </row>
    <row r="173">
      <c r="A173" s="53"/>
      <c r="B173" s="51" t="s">
        <v>239</v>
      </c>
    </row>
    <row r="174">
      <c r="A174" s="53"/>
      <c r="B174" s="51" t="s">
        <v>578</v>
      </c>
    </row>
    <row r="175">
      <c r="A175" s="53"/>
      <c r="B175" s="51" t="s">
        <v>579</v>
      </c>
    </row>
    <row r="176">
      <c r="A176" s="53"/>
      <c r="B176" s="51" t="s">
        <v>580</v>
      </c>
    </row>
    <row r="177">
      <c r="A177" s="53"/>
      <c r="B177" s="51" t="s">
        <v>581</v>
      </c>
    </row>
    <row r="178">
      <c r="A178" s="53"/>
      <c r="B178" s="51" t="s">
        <v>582</v>
      </c>
    </row>
    <row r="179">
      <c r="A179" s="53"/>
      <c r="B179" s="51" t="s">
        <v>583</v>
      </c>
    </row>
    <row r="180">
      <c r="A180" s="53"/>
      <c r="B180" s="51" t="s">
        <v>274</v>
      </c>
    </row>
    <row r="181">
      <c r="A181" s="53"/>
      <c r="B181" s="51" t="s">
        <v>240</v>
      </c>
    </row>
    <row r="182">
      <c r="A182" s="53"/>
      <c r="B182" s="51" t="s">
        <v>303</v>
      </c>
    </row>
    <row r="183">
      <c r="A183" s="53"/>
      <c r="B183" s="51" t="s">
        <v>609</v>
      </c>
    </row>
    <row r="184">
      <c r="A184" s="53"/>
      <c r="B184" s="51" t="s">
        <v>662</v>
      </c>
    </row>
    <row r="185">
      <c r="A185" s="53"/>
      <c r="B185" s="51" t="s">
        <v>289</v>
      </c>
    </row>
    <row r="186">
      <c r="A186" s="53"/>
      <c r="B186" s="51" t="s">
        <v>610</v>
      </c>
    </row>
    <row r="187">
      <c r="A187" s="53"/>
      <c r="B187" s="51" t="s">
        <v>241</v>
      </c>
    </row>
    <row r="188">
      <c r="A188" s="53"/>
      <c r="B188" s="51" t="s">
        <v>604</v>
      </c>
    </row>
    <row r="189">
      <c r="A189" s="53"/>
      <c r="B189" s="51" t="s">
        <v>290</v>
      </c>
    </row>
    <row r="190">
      <c r="A190" s="53"/>
      <c r="B190" s="51" t="s">
        <v>395</v>
      </c>
    </row>
    <row r="191">
      <c r="A191" s="53"/>
      <c r="B191" s="51" t="s">
        <v>372</v>
      </c>
    </row>
    <row r="192">
      <c r="A192" s="53"/>
      <c r="B192" s="51" t="s">
        <v>396</v>
      </c>
    </row>
    <row r="193">
      <c r="A193" s="53"/>
      <c r="B193" s="51" t="s">
        <v>373</v>
      </c>
    </row>
    <row r="194">
      <c r="A194" s="53"/>
      <c r="B194" s="51" t="s">
        <v>397</v>
      </c>
    </row>
    <row r="195">
      <c r="A195" s="53"/>
      <c r="B195" s="51" t="s">
        <v>663</v>
      </c>
    </row>
    <row r="196">
      <c r="A196" s="53"/>
      <c r="B196" s="51" t="s">
        <v>398</v>
      </c>
    </row>
    <row r="197">
      <c r="A197" s="53"/>
      <c r="B197" s="51" t="s">
        <v>374</v>
      </c>
    </row>
    <row r="198">
      <c r="A198" s="53"/>
      <c r="B198" s="51" t="s">
        <v>235</v>
      </c>
    </row>
    <row r="199">
      <c r="A199" s="53"/>
      <c r="B199" s="51" t="s">
        <v>354</v>
      </c>
    </row>
    <row r="200">
      <c r="A200" s="53"/>
      <c r="B200" s="51" t="s">
        <v>249</v>
      </c>
    </row>
    <row r="201">
      <c r="A201" s="53"/>
      <c r="B201" s="51" t="s">
        <v>242</v>
      </c>
    </row>
    <row r="202">
      <c r="A202" s="53"/>
      <c r="B202" s="51" t="s">
        <v>321</v>
      </c>
    </row>
    <row r="203">
      <c r="A203" s="53"/>
      <c r="B203" s="51" t="s">
        <v>325</v>
      </c>
    </row>
    <row r="204">
      <c r="A204" s="53"/>
      <c r="B204" s="51" t="s">
        <v>664</v>
      </c>
    </row>
    <row r="205">
      <c r="A205" s="53"/>
      <c r="B205" s="51" t="s">
        <v>332</v>
      </c>
    </row>
    <row r="206">
      <c r="A206" s="53"/>
      <c r="B206" s="51" t="s">
        <v>665</v>
      </c>
    </row>
    <row r="207">
      <c r="A207" s="53"/>
      <c r="B207" s="51" t="s">
        <v>365</v>
      </c>
    </row>
    <row r="208">
      <c r="A208" s="53"/>
      <c r="B208" s="51" t="s">
        <v>335</v>
      </c>
    </row>
    <row r="209">
      <c r="A209" s="53"/>
      <c r="B209" s="51" t="s">
        <v>358</v>
      </c>
    </row>
    <row r="210">
      <c r="A210" s="53"/>
      <c r="B210" s="51" t="s">
        <v>262</v>
      </c>
    </row>
    <row r="211">
      <c r="A211" s="53"/>
      <c r="B211" s="51" t="s">
        <v>566</v>
      </c>
    </row>
    <row r="212">
      <c r="A212" s="53"/>
      <c r="B212" s="51" t="s">
        <v>275</v>
      </c>
    </row>
    <row r="213">
      <c r="A213" s="53"/>
      <c r="B213" s="51" t="s">
        <v>276</v>
      </c>
    </row>
    <row r="214">
      <c r="A214" s="53"/>
      <c r="B214" s="52" t="s">
        <v>343</v>
      </c>
    </row>
    <row r="215">
      <c r="A215" s="53"/>
      <c r="B215" s="51" t="s">
        <v>340</v>
      </c>
    </row>
    <row r="216">
      <c r="A216" s="53"/>
      <c r="B216" s="51" t="s">
        <v>341</v>
      </c>
    </row>
    <row r="217">
      <c r="A217" s="53"/>
      <c r="B217" s="51" t="s">
        <v>342</v>
      </c>
    </row>
    <row r="218">
      <c r="A218" s="53"/>
      <c r="B218" s="51" t="s">
        <v>557</v>
      </c>
    </row>
    <row r="219">
      <c r="A219" s="53"/>
      <c r="B219" s="51" t="s">
        <v>558</v>
      </c>
    </row>
    <row r="220">
      <c r="A220" s="53"/>
      <c r="B220" s="51" t="s">
        <v>666</v>
      </c>
    </row>
    <row r="221">
      <c r="A221" s="53"/>
      <c r="B221" s="51" t="s">
        <v>576</v>
      </c>
    </row>
    <row r="222">
      <c r="A222" s="53"/>
      <c r="B222" s="51" t="s">
        <v>567</v>
      </c>
    </row>
    <row r="223">
      <c r="A223" s="53"/>
      <c r="B223" s="51" t="s">
        <v>605</v>
      </c>
    </row>
    <row r="224">
      <c r="A224" s="53"/>
      <c r="B224" s="51" t="s">
        <v>257</v>
      </c>
    </row>
    <row r="225">
      <c r="A225" s="53"/>
      <c r="B225" s="51" t="s">
        <v>263</v>
      </c>
    </row>
    <row r="226">
      <c r="A226" s="53"/>
      <c r="B226" s="51" t="s">
        <v>277</v>
      </c>
    </row>
    <row r="227">
      <c r="A227" s="53"/>
      <c r="B227" s="51" t="s">
        <v>278</v>
      </c>
    </row>
    <row r="228">
      <c r="A228" s="53"/>
      <c r="B228" s="51" t="s">
        <v>279</v>
      </c>
    </row>
    <row r="229">
      <c r="A229" s="53"/>
      <c r="B229" s="51" t="s">
        <v>667</v>
      </c>
    </row>
    <row r="230">
      <c r="A230" s="53"/>
      <c r="B230" s="51" t="s">
        <v>250</v>
      </c>
    </row>
    <row r="231">
      <c r="A231" s="53"/>
      <c r="B231" s="51" t="s">
        <v>280</v>
      </c>
    </row>
    <row r="232">
      <c r="A232" s="53"/>
      <c r="B232" s="51" t="s">
        <v>243</v>
      </c>
    </row>
    <row r="233">
      <c r="A233" s="53"/>
      <c r="B233" s="51" t="s">
        <v>251</v>
      </c>
    </row>
    <row r="234">
      <c r="A234" s="53"/>
      <c r="B234" s="51" t="s">
        <v>252</v>
      </c>
    </row>
    <row r="235">
      <c r="A235" s="53"/>
      <c r="B235" s="51" t="s">
        <v>596</v>
      </c>
    </row>
    <row r="236">
      <c r="A236" s="53"/>
      <c r="B236" s="51" t="s">
        <v>281</v>
      </c>
    </row>
    <row r="237">
      <c r="A237" s="53"/>
      <c r="B237" s="51" t="s">
        <v>611</v>
      </c>
    </row>
    <row r="238">
      <c r="A238" s="53"/>
      <c r="B238" s="51" t="s">
        <v>291</v>
      </c>
    </row>
    <row r="239">
      <c r="A239" s="53"/>
      <c r="B239" s="51" t="s">
        <v>264</v>
      </c>
    </row>
    <row r="240">
      <c r="A240" s="53"/>
      <c r="B240" s="51" t="s">
        <v>236</v>
      </c>
    </row>
    <row r="241">
      <c r="A241" s="53"/>
      <c r="B241" s="51" t="s">
        <v>282</v>
      </c>
    </row>
    <row r="242">
      <c r="A242" s="53"/>
      <c r="B242" s="51" t="s">
        <v>253</v>
      </c>
    </row>
    <row r="243">
      <c r="A243" s="53"/>
      <c r="B243" s="51" t="s">
        <v>304</v>
      </c>
    </row>
    <row r="244">
      <c r="A244" s="53"/>
      <c r="B244" s="51" t="s">
        <v>366</v>
      </c>
    </row>
    <row r="245">
      <c r="A245" s="53"/>
      <c r="B245" s="51" t="s">
        <v>336</v>
      </c>
    </row>
    <row r="246">
      <c r="A246" s="53"/>
      <c r="B246" s="51" t="s">
        <v>559</v>
      </c>
    </row>
    <row r="247">
      <c r="A247" s="53"/>
      <c r="B247" s="51" t="s">
        <v>283</v>
      </c>
    </row>
    <row r="248">
      <c r="A248" s="53"/>
      <c r="B248" s="51" t="s">
        <v>647</v>
      </c>
    </row>
    <row r="249">
      <c r="A249" s="53"/>
      <c r="B249" s="51" t="s">
        <v>305</v>
      </c>
    </row>
    <row r="250">
      <c r="A250" s="53"/>
      <c r="B250" s="51" t="s">
        <v>244</v>
      </c>
    </row>
    <row r="251">
      <c r="A251" s="53"/>
      <c r="B251" s="51" t="s">
        <v>649</v>
      </c>
    </row>
    <row r="252">
      <c r="A252" s="53"/>
      <c r="B252" s="51" t="s">
        <v>148</v>
      </c>
    </row>
    <row r="253">
      <c r="B253" s="51"/>
    </row>
    <row r="254">
      <c r="B254" s="51"/>
    </row>
    <row r="255">
      <c r="B255" s="51"/>
    </row>
    <row r="256">
      <c r="B256" s="51"/>
    </row>
    <row r="257">
      <c r="B257" s="51"/>
    </row>
    <row r="258">
      <c r="B258" s="51"/>
    </row>
    <row r="259">
      <c r="B259" s="51"/>
    </row>
    <row r="260">
      <c r="B260" s="51"/>
    </row>
    <row r="261">
      <c r="B261" s="51"/>
    </row>
    <row r="262">
      <c r="B262" s="51"/>
    </row>
    <row r="263">
      <c r="B263" s="51"/>
    </row>
    <row r="264">
      <c r="B264" s="51"/>
    </row>
    <row r="265">
      <c r="B265" s="51"/>
    </row>
    <row r="266">
      <c r="B266" s="51"/>
    </row>
    <row r="267">
      <c r="B267" s="51"/>
    </row>
    <row r="268">
      <c r="B268" s="51"/>
    </row>
    <row r="269">
      <c r="B269" s="51"/>
    </row>
    <row r="270">
      <c r="B270" s="51"/>
    </row>
    <row r="271">
      <c r="B271" s="51"/>
    </row>
    <row r="272">
      <c r="B272" s="51"/>
    </row>
    <row r="273">
      <c r="B273" s="51"/>
    </row>
    <row r="274">
      <c r="B274" s="51"/>
    </row>
    <row r="275">
      <c r="B275" s="51"/>
    </row>
    <row r="276">
      <c r="B276" s="51"/>
    </row>
    <row r="277">
      <c r="B277" s="51"/>
    </row>
    <row r="278">
      <c r="B278" s="51"/>
    </row>
    <row r="279">
      <c r="B279" s="51"/>
    </row>
    <row r="280">
      <c r="B280" s="51"/>
    </row>
    <row r="281">
      <c r="B281" s="51"/>
    </row>
    <row r="282">
      <c r="B282" s="51"/>
    </row>
  </sheetData>
  <drawing r:id="rId1"/>
</worksheet>
</file>

<file path=xl/worksheets/sheet7.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pane ySplit="1.0" topLeftCell="A2" activePane="bottomLeft" state="frozen"/>
      <selection activeCell="B3" sqref="B3" pane="bottomLeft"/>
    </sheetView>
  </sheetViews>
  <sheetFormatPr customHeight="1" defaultColWidth="12.63" defaultRowHeight="15.75"/>
  <cols>
    <col customWidth="1" min="1" max="1" width="4.75"/>
    <col customWidth="1" min="2" max="2" width="20.0"/>
    <col customWidth="1" min="3" max="3" width="19.25"/>
    <col customWidth="1" min="4" max="4" width="20.88"/>
    <col customWidth="1" min="5" max="5" width="24.75"/>
    <col customWidth="1" min="6" max="6" width="25.63"/>
  </cols>
  <sheetData>
    <row r="1">
      <c r="A1" s="52" t="s">
        <v>33</v>
      </c>
      <c r="B1" s="52" t="s">
        <v>36</v>
      </c>
      <c r="C1" s="52" t="s">
        <v>668</v>
      </c>
      <c r="D1" s="52" t="s">
        <v>669</v>
      </c>
      <c r="E1" s="52" t="s">
        <v>670</v>
      </c>
      <c r="F1" s="52" t="s">
        <v>671</v>
      </c>
    </row>
    <row r="2">
      <c r="A2" s="53">
        <v>1.0</v>
      </c>
      <c r="B2" s="53" t="s">
        <v>54</v>
      </c>
      <c r="C2" s="52" t="s">
        <v>55</v>
      </c>
      <c r="D2" s="52" t="s">
        <v>55</v>
      </c>
      <c r="E2" s="52" t="s">
        <v>55</v>
      </c>
      <c r="F2" s="52" t="s">
        <v>55</v>
      </c>
    </row>
    <row r="3">
      <c r="A3" s="53">
        <v>2.0</v>
      </c>
      <c r="B3" s="53" t="s">
        <v>57</v>
      </c>
      <c r="C3" s="52" t="s">
        <v>55</v>
      </c>
      <c r="D3" s="52" t="s">
        <v>55</v>
      </c>
      <c r="E3" s="52" t="s">
        <v>55</v>
      </c>
      <c r="F3" s="52" t="s">
        <v>55</v>
      </c>
    </row>
    <row r="4">
      <c r="A4" s="53">
        <v>3.0</v>
      </c>
      <c r="B4" s="53" t="s">
        <v>58</v>
      </c>
      <c r="C4" s="52" t="s">
        <v>55</v>
      </c>
      <c r="D4" s="52" t="s">
        <v>55</v>
      </c>
      <c r="E4" s="52" t="s">
        <v>55</v>
      </c>
      <c r="F4" s="52" t="s">
        <v>55</v>
      </c>
    </row>
    <row r="5">
      <c r="A5" s="53">
        <v>4.0</v>
      </c>
      <c r="B5" s="53" t="s">
        <v>61</v>
      </c>
      <c r="C5" s="52" t="s">
        <v>672</v>
      </c>
      <c r="D5" s="52" t="s">
        <v>673</v>
      </c>
      <c r="E5" s="52" t="s">
        <v>674</v>
      </c>
      <c r="F5" s="52" t="s">
        <v>675</v>
      </c>
    </row>
    <row r="6">
      <c r="A6" s="53">
        <v>5.0</v>
      </c>
      <c r="B6" s="52" t="s">
        <v>62</v>
      </c>
      <c r="C6" s="52" t="s">
        <v>672</v>
      </c>
      <c r="D6" s="52" t="s">
        <v>673</v>
      </c>
      <c r="E6" s="52" t="s">
        <v>674</v>
      </c>
      <c r="F6" s="52" t="s">
        <v>675</v>
      </c>
    </row>
    <row r="7">
      <c r="A7" s="53">
        <v>6.0</v>
      </c>
      <c r="B7" s="53" t="s">
        <v>63</v>
      </c>
      <c r="C7" s="52" t="s">
        <v>672</v>
      </c>
      <c r="D7" s="52" t="s">
        <v>673</v>
      </c>
      <c r="E7" s="52" t="s">
        <v>674</v>
      </c>
      <c r="F7" s="52" t="s">
        <v>675</v>
      </c>
    </row>
    <row r="8">
      <c r="A8" s="53">
        <v>7.0</v>
      </c>
      <c r="B8" s="53" t="s">
        <v>64</v>
      </c>
      <c r="C8" s="52" t="s">
        <v>672</v>
      </c>
      <c r="D8" s="52" t="s">
        <v>673</v>
      </c>
      <c r="E8" s="52" t="s">
        <v>674</v>
      </c>
      <c r="F8" s="52" t="s">
        <v>675</v>
      </c>
    </row>
    <row r="9">
      <c r="A9" s="53">
        <v>8.0</v>
      </c>
      <c r="B9" s="53" t="s">
        <v>66</v>
      </c>
      <c r="C9" s="52" t="s">
        <v>676</v>
      </c>
      <c r="D9" s="52" t="s">
        <v>677</v>
      </c>
      <c r="E9" s="52" t="s">
        <v>678</v>
      </c>
      <c r="F9" s="52" t="s">
        <v>679</v>
      </c>
    </row>
    <row r="10">
      <c r="A10" s="53">
        <v>9.0</v>
      </c>
      <c r="B10" s="53" t="s">
        <v>67</v>
      </c>
      <c r="C10" s="52" t="s">
        <v>676</v>
      </c>
      <c r="D10" s="52" t="s">
        <v>677</v>
      </c>
      <c r="E10" s="52" t="s">
        <v>678</v>
      </c>
      <c r="F10" s="52" t="s">
        <v>679</v>
      </c>
    </row>
    <row r="11">
      <c r="A11" s="53">
        <v>10.0</v>
      </c>
      <c r="B11" s="53" t="s">
        <v>68</v>
      </c>
      <c r="C11" s="52" t="s">
        <v>676</v>
      </c>
      <c r="D11" s="52" t="s">
        <v>677</v>
      </c>
      <c r="E11" s="52" t="s">
        <v>678</v>
      </c>
      <c r="F11" s="52" t="s">
        <v>679</v>
      </c>
    </row>
    <row r="12">
      <c r="A12" s="53">
        <v>11.0</v>
      </c>
      <c r="B12" s="53" t="s">
        <v>70</v>
      </c>
      <c r="C12" s="52" t="s">
        <v>680</v>
      </c>
      <c r="D12" s="52" t="s">
        <v>681</v>
      </c>
      <c r="E12" s="52" t="s">
        <v>682</v>
      </c>
      <c r="F12" s="52" t="s">
        <v>683</v>
      </c>
    </row>
    <row r="13">
      <c r="A13" s="53">
        <v>12.0</v>
      </c>
      <c r="B13" s="53" t="s">
        <v>71</v>
      </c>
      <c r="C13" s="52" t="s">
        <v>680</v>
      </c>
      <c r="D13" s="52" t="s">
        <v>681</v>
      </c>
      <c r="E13" s="52" t="s">
        <v>682</v>
      </c>
      <c r="F13" s="52" t="s">
        <v>683</v>
      </c>
    </row>
    <row r="14">
      <c r="A14" s="53">
        <v>13.0</v>
      </c>
      <c r="B14" s="53" t="s">
        <v>72</v>
      </c>
      <c r="C14" s="52" t="s">
        <v>680</v>
      </c>
      <c r="D14" s="52" t="s">
        <v>681</v>
      </c>
      <c r="E14" s="52" t="s">
        <v>682</v>
      </c>
      <c r="F14" s="52" t="s">
        <v>683</v>
      </c>
    </row>
    <row r="15">
      <c r="A15" s="53">
        <v>14.0</v>
      </c>
      <c r="B15" s="53" t="s">
        <v>74</v>
      </c>
      <c r="C15" s="52" t="s">
        <v>684</v>
      </c>
      <c r="D15" s="52" t="s">
        <v>685</v>
      </c>
      <c r="E15" s="52" t="s">
        <v>686</v>
      </c>
      <c r="F15" s="52" t="s">
        <v>687</v>
      </c>
    </row>
    <row r="16">
      <c r="A16" s="53">
        <v>15.0</v>
      </c>
      <c r="B16" s="53" t="s">
        <v>75</v>
      </c>
      <c r="C16" s="52" t="s">
        <v>684</v>
      </c>
      <c r="D16" s="52" t="s">
        <v>685</v>
      </c>
      <c r="E16" s="52" t="s">
        <v>686</v>
      </c>
      <c r="F16" s="52" t="s">
        <v>687</v>
      </c>
    </row>
    <row r="17">
      <c r="A17" s="53">
        <v>16.0</v>
      </c>
      <c r="B17" s="53" t="s">
        <v>76</v>
      </c>
      <c r="C17" s="52" t="s">
        <v>684</v>
      </c>
      <c r="D17" s="52" t="s">
        <v>685</v>
      </c>
      <c r="E17" s="52" t="s">
        <v>686</v>
      </c>
      <c r="F17" s="52" t="s">
        <v>687</v>
      </c>
    </row>
    <row r="18">
      <c r="A18" s="53">
        <v>17.0</v>
      </c>
      <c r="B18" s="53" t="s">
        <v>78</v>
      </c>
      <c r="C18" s="52" t="s">
        <v>688</v>
      </c>
      <c r="D18" s="52" t="s">
        <v>689</v>
      </c>
      <c r="E18" s="52" t="s">
        <v>690</v>
      </c>
      <c r="F18" s="52" t="s">
        <v>691</v>
      </c>
    </row>
    <row r="19">
      <c r="A19" s="53">
        <v>18.0</v>
      </c>
      <c r="B19" s="53" t="s">
        <v>79</v>
      </c>
      <c r="C19" s="52" t="s">
        <v>688</v>
      </c>
      <c r="D19" s="52" t="s">
        <v>689</v>
      </c>
      <c r="E19" s="52" t="s">
        <v>690</v>
      </c>
      <c r="F19" s="52" t="s">
        <v>691</v>
      </c>
    </row>
    <row r="20">
      <c r="A20" s="53">
        <v>19.0</v>
      </c>
      <c r="B20" s="53" t="s">
        <v>80</v>
      </c>
      <c r="C20" s="52" t="s">
        <v>688</v>
      </c>
      <c r="D20" s="52" t="s">
        <v>689</v>
      </c>
      <c r="E20" s="52" t="s">
        <v>690</v>
      </c>
      <c r="F20" s="52" t="s">
        <v>691</v>
      </c>
    </row>
    <row r="21">
      <c r="A21" s="53">
        <v>20.0</v>
      </c>
      <c r="B21" s="53" t="s">
        <v>82</v>
      </c>
      <c r="C21" s="52" t="s">
        <v>692</v>
      </c>
      <c r="D21" s="52" t="s">
        <v>693</v>
      </c>
      <c r="E21" s="52" t="s">
        <v>694</v>
      </c>
      <c r="F21" s="52" t="s">
        <v>695</v>
      </c>
    </row>
    <row r="22">
      <c r="A22" s="53">
        <v>21.0</v>
      </c>
      <c r="B22" s="53" t="s">
        <v>83</v>
      </c>
      <c r="C22" s="52" t="s">
        <v>692</v>
      </c>
      <c r="D22" s="52" t="s">
        <v>693</v>
      </c>
      <c r="E22" s="52" t="s">
        <v>694</v>
      </c>
      <c r="F22" s="52" t="s">
        <v>695</v>
      </c>
    </row>
    <row r="23">
      <c r="A23" s="53">
        <v>22.0</v>
      </c>
      <c r="B23" s="53" t="s">
        <v>84</v>
      </c>
      <c r="C23" s="52" t="s">
        <v>692</v>
      </c>
      <c r="D23" s="52" t="s">
        <v>693</v>
      </c>
      <c r="E23" s="52" t="s">
        <v>694</v>
      </c>
      <c r="F23" s="52" t="s">
        <v>695</v>
      </c>
    </row>
    <row r="24">
      <c r="A24" s="53">
        <v>23.0</v>
      </c>
      <c r="B24" s="53" t="s">
        <v>86</v>
      </c>
      <c r="C24" s="52" t="s">
        <v>696</v>
      </c>
      <c r="D24" s="52" t="s">
        <v>697</v>
      </c>
      <c r="E24" s="52" t="s">
        <v>698</v>
      </c>
      <c r="F24" s="52" t="s">
        <v>699</v>
      </c>
    </row>
    <row r="25">
      <c r="A25" s="53">
        <v>24.0</v>
      </c>
      <c r="B25" s="53" t="s">
        <v>87</v>
      </c>
      <c r="C25" s="52" t="s">
        <v>696</v>
      </c>
      <c r="D25" s="52" t="s">
        <v>697</v>
      </c>
      <c r="E25" s="52" t="s">
        <v>698</v>
      </c>
      <c r="F25" s="52" t="s">
        <v>699</v>
      </c>
    </row>
    <row r="26">
      <c r="A26" s="53">
        <v>25.0</v>
      </c>
      <c r="B26" s="53" t="s">
        <v>88</v>
      </c>
      <c r="C26" s="52" t="s">
        <v>696</v>
      </c>
      <c r="D26" s="52" t="s">
        <v>697</v>
      </c>
      <c r="E26" s="52" t="s">
        <v>698</v>
      </c>
      <c r="F26" s="52" t="s">
        <v>699</v>
      </c>
    </row>
    <row r="27">
      <c r="A27" s="53">
        <v>26.0</v>
      </c>
      <c r="B27" s="53" t="s">
        <v>90</v>
      </c>
      <c r="C27" s="52" t="s">
        <v>700</v>
      </c>
      <c r="D27" s="52" t="s">
        <v>701</v>
      </c>
      <c r="E27" s="52" t="s">
        <v>702</v>
      </c>
      <c r="F27" s="52" t="s">
        <v>703</v>
      </c>
    </row>
    <row r="28">
      <c r="A28" s="53">
        <v>27.0</v>
      </c>
      <c r="B28" s="53" t="s">
        <v>91</v>
      </c>
      <c r="C28" s="52" t="s">
        <v>700</v>
      </c>
      <c r="D28" s="52" t="s">
        <v>701</v>
      </c>
      <c r="E28" s="52" t="s">
        <v>702</v>
      </c>
      <c r="F28" s="52" t="s">
        <v>703</v>
      </c>
    </row>
    <row r="29">
      <c r="A29" s="53">
        <v>28.0</v>
      </c>
      <c r="B29" s="53" t="s">
        <v>92</v>
      </c>
      <c r="C29" s="52" t="s">
        <v>700</v>
      </c>
      <c r="D29" s="52" t="s">
        <v>701</v>
      </c>
      <c r="E29" s="52" t="s">
        <v>702</v>
      </c>
      <c r="F29" s="52" t="s">
        <v>703</v>
      </c>
    </row>
    <row r="30">
      <c r="A30" s="53">
        <v>29.0</v>
      </c>
      <c r="B30" s="53" t="s">
        <v>94</v>
      </c>
      <c r="C30" s="52" t="s">
        <v>704</v>
      </c>
      <c r="D30" s="52" t="s">
        <v>705</v>
      </c>
      <c r="E30" s="52" t="s">
        <v>706</v>
      </c>
      <c r="F30" s="52" t="s">
        <v>707</v>
      </c>
    </row>
    <row r="31">
      <c r="A31" s="53">
        <v>30.0</v>
      </c>
      <c r="B31" s="53" t="s">
        <v>93</v>
      </c>
      <c r="C31" s="52" t="s">
        <v>704</v>
      </c>
      <c r="D31" s="52" t="s">
        <v>705</v>
      </c>
      <c r="E31" s="52" t="s">
        <v>706</v>
      </c>
      <c r="F31" s="52" t="s">
        <v>707</v>
      </c>
    </row>
    <row r="32">
      <c r="A32" s="53">
        <v>31.0</v>
      </c>
      <c r="B32" s="53" t="s">
        <v>95</v>
      </c>
      <c r="C32" s="52" t="s">
        <v>704</v>
      </c>
      <c r="D32" s="52" t="s">
        <v>705</v>
      </c>
      <c r="E32" s="52" t="s">
        <v>706</v>
      </c>
      <c r="F32" s="52" t="s">
        <v>707</v>
      </c>
    </row>
    <row r="33">
      <c r="A33" s="53">
        <v>32.0</v>
      </c>
      <c r="B33" s="53" t="s">
        <v>97</v>
      </c>
      <c r="C33" s="52" t="s">
        <v>708</v>
      </c>
      <c r="D33" s="52" t="s">
        <v>709</v>
      </c>
      <c r="E33" s="52" t="s">
        <v>710</v>
      </c>
      <c r="F33" s="52" t="s">
        <v>711</v>
      </c>
    </row>
    <row r="34">
      <c r="A34" s="53">
        <v>33.0</v>
      </c>
      <c r="B34" s="53" t="s">
        <v>98</v>
      </c>
      <c r="C34" s="52" t="s">
        <v>708</v>
      </c>
      <c r="D34" s="52" t="s">
        <v>709</v>
      </c>
      <c r="E34" s="52" t="s">
        <v>710</v>
      </c>
      <c r="F34" s="52" t="s">
        <v>711</v>
      </c>
    </row>
    <row r="35">
      <c r="A35" s="53">
        <v>34.0</v>
      </c>
      <c r="B35" s="53" t="s">
        <v>99</v>
      </c>
      <c r="C35" s="52" t="s">
        <v>708</v>
      </c>
      <c r="D35" s="52" t="s">
        <v>709</v>
      </c>
      <c r="E35" s="52" t="s">
        <v>710</v>
      </c>
      <c r="F35" s="52" t="s">
        <v>711</v>
      </c>
    </row>
    <row r="36">
      <c r="A36" s="53">
        <v>35.0</v>
      </c>
      <c r="B36" s="53" t="s">
        <v>101</v>
      </c>
      <c r="C36" s="52" t="s">
        <v>712</v>
      </c>
      <c r="D36" s="52" t="s">
        <v>713</v>
      </c>
      <c r="E36" s="52" t="s">
        <v>714</v>
      </c>
      <c r="F36" s="52" t="s">
        <v>715</v>
      </c>
    </row>
    <row r="37">
      <c r="A37" s="53">
        <v>36.0</v>
      </c>
      <c r="B37" s="53" t="s">
        <v>102</v>
      </c>
      <c r="C37" s="52" t="s">
        <v>712</v>
      </c>
      <c r="D37" s="52" t="s">
        <v>713</v>
      </c>
      <c r="E37" s="52" t="s">
        <v>714</v>
      </c>
      <c r="F37" s="52" t="s">
        <v>715</v>
      </c>
    </row>
    <row r="38">
      <c r="A38" s="53">
        <v>37.0</v>
      </c>
      <c r="B38" s="53" t="s">
        <v>103</v>
      </c>
      <c r="C38" s="52" t="s">
        <v>712</v>
      </c>
      <c r="D38" s="52" t="s">
        <v>713</v>
      </c>
      <c r="E38" s="52" t="s">
        <v>714</v>
      </c>
      <c r="F38" s="52" t="s">
        <v>715</v>
      </c>
    </row>
    <row r="39">
      <c r="A39" s="53">
        <v>38.0</v>
      </c>
      <c r="B39" s="53" t="s">
        <v>105</v>
      </c>
      <c r="C39" s="52" t="s">
        <v>716</v>
      </c>
      <c r="D39" s="52" t="s">
        <v>717</v>
      </c>
      <c r="E39" s="52" t="s">
        <v>718</v>
      </c>
      <c r="F39" s="52" t="s">
        <v>719</v>
      </c>
    </row>
    <row r="40">
      <c r="A40" s="53">
        <v>39.0</v>
      </c>
      <c r="B40" s="53" t="s">
        <v>106</v>
      </c>
      <c r="C40" s="52" t="s">
        <v>716</v>
      </c>
      <c r="D40" s="52" t="s">
        <v>717</v>
      </c>
      <c r="E40" s="52" t="s">
        <v>718</v>
      </c>
      <c r="F40" s="52" t="s">
        <v>719</v>
      </c>
    </row>
    <row r="41">
      <c r="A41" s="53">
        <v>40.0</v>
      </c>
      <c r="B41" s="53" t="s">
        <v>107</v>
      </c>
      <c r="C41" s="52" t="s">
        <v>716</v>
      </c>
      <c r="D41" s="52" t="s">
        <v>717</v>
      </c>
      <c r="E41" s="52" t="s">
        <v>718</v>
      </c>
      <c r="F41" s="52" t="s">
        <v>719</v>
      </c>
    </row>
    <row r="42">
      <c r="A42" s="53">
        <v>41.0</v>
      </c>
      <c r="B42" s="53" t="s">
        <v>109</v>
      </c>
      <c r="C42" s="52" t="s">
        <v>720</v>
      </c>
      <c r="D42" s="52" t="s">
        <v>721</v>
      </c>
      <c r="E42" s="52" t="s">
        <v>722</v>
      </c>
      <c r="F42" s="52" t="s">
        <v>723</v>
      </c>
    </row>
    <row r="43">
      <c r="A43" s="53">
        <v>42.0</v>
      </c>
      <c r="B43" s="53" t="s">
        <v>110</v>
      </c>
      <c r="C43" s="52" t="s">
        <v>720</v>
      </c>
      <c r="D43" s="52" t="s">
        <v>721</v>
      </c>
      <c r="E43" s="52" t="s">
        <v>722</v>
      </c>
      <c r="F43" s="52" t="s">
        <v>723</v>
      </c>
    </row>
    <row r="44">
      <c r="A44" s="53">
        <v>43.0</v>
      </c>
      <c r="B44" s="53" t="s">
        <v>111</v>
      </c>
      <c r="C44" s="52" t="s">
        <v>720</v>
      </c>
      <c r="D44" s="52" t="s">
        <v>721</v>
      </c>
      <c r="E44" s="52" t="s">
        <v>722</v>
      </c>
      <c r="F44" s="52" t="s">
        <v>723</v>
      </c>
    </row>
    <row r="45">
      <c r="A45" s="53">
        <v>44.0</v>
      </c>
      <c r="B45" s="53" t="s">
        <v>113</v>
      </c>
      <c r="C45" s="52" t="s">
        <v>724</v>
      </c>
      <c r="D45" s="52" t="s">
        <v>725</v>
      </c>
      <c r="E45" s="52" t="s">
        <v>726</v>
      </c>
      <c r="F45" s="52" t="s">
        <v>727</v>
      </c>
    </row>
    <row r="46">
      <c r="A46" s="53">
        <v>45.0</v>
      </c>
      <c r="B46" s="53" t="s">
        <v>114</v>
      </c>
      <c r="C46" s="52" t="s">
        <v>724</v>
      </c>
      <c r="D46" s="52" t="s">
        <v>725</v>
      </c>
      <c r="E46" s="52" t="s">
        <v>726</v>
      </c>
      <c r="F46" s="52" t="s">
        <v>727</v>
      </c>
    </row>
    <row r="47">
      <c r="A47" s="53">
        <v>46.0</v>
      </c>
      <c r="B47" s="53" t="s">
        <v>115</v>
      </c>
      <c r="C47" s="52" t="s">
        <v>724</v>
      </c>
      <c r="D47" s="52" t="s">
        <v>725</v>
      </c>
      <c r="E47" s="52" t="s">
        <v>726</v>
      </c>
      <c r="F47" s="52" t="s">
        <v>727</v>
      </c>
    </row>
    <row r="48">
      <c r="A48" s="53">
        <v>47.0</v>
      </c>
      <c r="B48" s="53" t="s">
        <v>117</v>
      </c>
      <c r="C48" s="52" t="s">
        <v>728</v>
      </c>
      <c r="D48" s="52" t="s">
        <v>729</v>
      </c>
      <c r="E48" s="52" t="s">
        <v>730</v>
      </c>
      <c r="F48" s="52" t="s">
        <v>731</v>
      </c>
    </row>
    <row r="49">
      <c r="A49" s="53">
        <v>48.0</v>
      </c>
      <c r="B49" s="53" t="s">
        <v>118</v>
      </c>
      <c r="C49" s="52" t="s">
        <v>728</v>
      </c>
      <c r="D49" s="52" t="s">
        <v>729</v>
      </c>
      <c r="E49" s="52" t="s">
        <v>730</v>
      </c>
      <c r="F49" s="52" t="s">
        <v>731</v>
      </c>
    </row>
    <row r="50">
      <c r="A50" s="53">
        <v>49.0</v>
      </c>
      <c r="B50" s="53" t="s">
        <v>119</v>
      </c>
      <c r="C50" s="52" t="s">
        <v>728</v>
      </c>
      <c r="D50" s="52" t="s">
        <v>729</v>
      </c>
      <c r="E50" s="52" t="s">
        <v>730</v>
      </c>
      <c r="F50" s="52" t="s">
        <v>731</v>
      </c>
    </row>
    <row r="51">
      <c r="A51" s="53">
        <v>50.0</v>
      </c>
      <c r="B51" s="53" t="s">
        <v>121</v>
      </c>
      <c r="C51" s="52" t="s">
        <v>732</v>
      </c>
      <c r="D51" s="52" t="s">
        <v>733</v>
      </c>
      <c r="E51" s="52" t="s">
        <v>734</v>
      </c>
      <c r="F51" s="52" t="s">
        <v>735</v>
      </c>
    </row>
    <row r="52">
      <c r="A52" s="53">
        <v>51.0</v>
      </c>
      <c r="B52" s="53" t="s">
        <v>122</v>
      </c>
      <c r="C52" s="52" t="s">
        <v>732</v>
      </c>
      <c r="D52" s="52" t="s">
        <v>733</v>
      </c>
      <c r="E52" s="52" t="s">
        <v>734</v>
      </c>
      <c r="F52" s="52" t="s">
        <v>735</v>
      </c>
    </row>
    <row r="53">
      <c r="A53" s="53">
        <v>52.0</v>
      </c>
      <c r="B53" s="53" t="s">
        <v>123</v>
      </c>
      <c r="C53" s="52" t="s">
        <v>732</v>
      </c>
      <c r="D53" s="52" t="s">
        <v>733</v>
      </c>
      <c r="E53" s="52" t="s">
        <v>734</v>
      </c>
      <c r="F53" s="52" t="s">
        <v>735</v>
      </c>
    </row>
    <row r="54">
      <c r="A54" s="53">
        <v>53.0</v>
      </c>
      <c r="B54" s="53" t="s">
        <v>125</v>
      </c>
      <c r="C54" s="52" t="s">
        <v>55</v>
      </c>
      <c r="D54" s="52" t="s">
        <v>55</v>
      </c>
      <c r="E54" s="52" t="s">
        <v>55</v>
      </c>
      <c r="F54" s="52" t="s">
        <v>55</v>
      </c>
    </row>
    <row r="55">
      <c r="A55" s="53">
        <v>54.0</v>
      </c>
      <c r="B55" s="53" t="s">
        <v>126</v>
      </c>
      <c r="C55" s="52" t="s">
        <v>55</v>
      </c>
      <c r="D55" s="52" t="s">
        <v>55</v>
      </c>
      <c r="E55" s="52" t="s">
        <v>55</v>
      </c>
      <c r="F55" s="52" t="s">
        <v>55</v>
      </c>
    </row>
    <row r="56">
      <c r="A56" s="53">
        <v>55.0</v>
      </c>
      <c r="B56" s="53" t="s">
        <v>127</v>
      </c>
      <c r="C56" s="52" t="s">
        <v>55</v>
      </c>
      <c r="D56" s="52" t="s">
        <v>55</v>
      </c>
      <c r="E56" s="52" t="s">
        <v>55</v>
      </c>
      <c r="F56" s="52" t="s">
        <v>55</v>
      </c>
    </row>
    <row r="57">
      <c r="A57" s="53">
        <v>56.0</v>
      </c>
      <c r="B57" s="53" t="s">
        <v>129</v>
      </c>
      <c r="C57" s="52" t="s">
        <v>736</v>
      </c>
      <c r="D57" s="52" t="s">
        <v>737</v>
      </c>
      <c r="E57" s="52" t="s">
        <v>738</v>
      </c>
      <c r="F57" s="52" t="s">
        <v>739</v>
      </c>
    </row>
    <row r="58">
      <c r="A58" s="53">
        <v>57.0</v>
      </c>
      <c r="B58" s="53" t="s">
        <v>130</v>
      </c>
      <c r="C58" s="52" t="s">
        <v>736</v>
      </c>
      <c r="D58" s="52" t="s">
        <v>737</v>
      </c>
      <c r="E58" s="52" t="s">
        <v>740</v>
      </c>
      <c r="F58" s="52" t="s">
        <v>739</v>
      </c>
    </row>
    <row r="59">
      <c r="A59" s="53">
        <v>58.0</v>
      </c>
      <c r="B59" s="53" t="s">
        <v>131</v>
      </c>
      <c r="C59" s="52" t="s">
        <v>736</v>
      </c>
      <c r="D59" s="52" t="s">
        <v>737</v>
      </c>
      <c r="E59" s="52" t="s">
        <v>740</v>
      </c>
      <c r="F59" s="52" t="s">
        <v>739</v>
      </c>
    </row>
    <row r="60">
      <c r="A60" s="53">
        <v>59.0</v>
      </c>
      <c r="B60" s="53" t="s">
        <v>133</v>
      </c>
      <c r="C60" s="52" t="s">
        <v>741</v>
      </c>
      <c r="D60" s="52" t="s">
        <v>742</v>
      </c>
      <c r="E60" s="52" t="s">
        <v>743</v>
      </c>
      <c r="F60" s="52" t="s">
        <v>744</v>
      </c>
    </row>
    <row r="61">
      <c r="A61" s="53">
        <v>60.0</v>
      </c>
      <c r="B61" s="53" t="s">
        <v>134</v>
      </c>
      <c r="C61" s="52" t="s">
        <v>741</v>
      </c>
      <c r="D61" s="52" t="s">
        <v>742</v>
      </c>
      <c r="E61" s="52" t="s">
        <v>743</v>
      </c>
      <c r="F61" s="52" t="s">
        <v>744</v>
      </c>
    </row>
    <row r="62">
      <c r="A62" s="53">
        <v>61.0</v>
      </c>
      <c r="B62" s="53" t="s">
        <v>135</v>
      </c>
      <c r="C62" s="52" t="s">
        <v>741</v>
      </c>
      <c r="D62" s="52" t="s">
        <v>742</v>
      </c>
      <c r="E62" s="52" t="s">
        <v>743</v>
      </c>
      <c r="F62" s="52" t="s">
        <v>744</v>
      </c>
    </row>
    <row r="63">
      <c r="A63" s="53">
        <v>62.0</v>
      </c>
      <c r="B63" s="53" t="s">
        <v>137</v>
      </c>
      <c r="C63" s="52" t="s">
        <v>745</v>
      </c>
      <c r="D63" s="52" t="s">
        <v>746</v>
      </c>
      <c r="E63" s="52" t="s">
        <v>747</v>
      </c>
      <c r="F63" s="52" t="s">
        <v>748</v>
      </c>
    </row>
    <row r="64">
      <c r="A64" s="53">
        <v>63.0</v>
      </c>
      <c r="B64" s="53" t="s">
        <v>138</v>
      </c>
      <c r="C64" s="52" t="s">
        <v>745</v>
      </c>
      <c r="D64" s="52" t="s">
        <v>746</v>
      </c>
      <c r="E64" s="52" t="s">
        <v>747</v>
      </c>
      <c r="F64" s="52" t="s">
        <v>748</v>
      </c>
    </row>
    <row r="65">
      <c r="A65" s="53">
        <v>64.0</v>
      </c>
      <c r="B65" s="53" t="s">
        <v>139</v>
      </c>
      <c r="C65" s="52" t="s">
        <v>745</v>
      </c>
      <c r="D65" s="52" t="s">
        <v>746</v>
      </c>
      <c r="E65" s="52" t="s">
        <v>747</v>
      </c>
      <c r="F65" s="52" t="s">
        <v>748</v>
      </c>
    </row>
    <row r="66">
      <c r="A66" s="53">
        <v>65.0</v>
      </c>
      <c r="B66" s="53" t="s">
        <v>141</v>
      </c>
      <c r="C66" s="52" t="s">
        <v>749</v>
      </c>
      <c r="D66" s="52" t="s">
        <v>750</v>
      </c>
      <c r="E66" s="52" t="s">
        <v>751</v>
      </c>
      <c r="F66" s="52" t="s">
        <v>752</v>
      </c>
    </row>
    <row r="67">
      <c r="A67" s="53">
        <v>66.0</v>
      </c>
      <c r="B67" s="53" t="s">
        <v>142</v>
      </c>
      <c r="C67" s="52" t="s">
        <v>749</v>
      </c>
      <c r="D67" s="52" t="s">
        <v>750</v>
      </c>
      <c r="E67" s="52" t="s">
        <v>751</v>
      </c>
      <c r="F67" s="52" t="s">
        <v>752</v>
      </c>
    </row>
    <row r="68">
      <c r="A68" s="53">
        <v>67.0</v>
      </c>
      <c r="B68" s="53" t="s">
        <v>143</v>
      </c>
      <c r="C68" s="52" t="s">
        <v>749</v>
      </c>
      <c r="D68" s="52" t="s">
        <v>750</v>
      </c>
      <c r="E68" s="52" t="s">
        <v>751</v>
      </c>
      <c r="F68" s="52" t="s">
        <v>752</v>
      </c>
    </row>
    <row r="69">
      <c r="A69" s="53">
        <v>68.0</v>
      </c>
      <c r="B69" s="53" t="s">
        <v>144</v>
      </c>
      <c r="C69" s="52" t="s">
        <v>753</v>
      </c>
      <c r="D69" s="52" t="s">
        <v>754</v>
      </c>
      <c r="E69" s="52" t="s">
        <v>755</v>
      </c>
      <c r="F69" s="52" t="s">
        <v>756</v>
      </c>
    </row>
    <row r="70">
      <c r="A70" s="53">
        <v>69.0</v>
      </c>
      <c r="B70" s="53" t="s">
        <v>145</v>
      </c>
      <c r="C70" s="52" t="s">
        <v>757</v>
      </c>
      <c r="D70" s="52" t="s">
        <v>758</v>
      </c>
      <c r="E70" s="52" t="s">
        <v>759</v>
      </c>
      <c r="F70" s="52" t="s">
        <v>760</v>
      </c>
    </row>
    <row r="71">
      <c r="A71" s="53">
        <v>70.0</v>
      </c>
      <c r="B71" s="53" t="s">
        <v>146</v>
      </c>
      <c r="C71" s="52" t="s">
        <v>761</v>
      </c>
      <c r="D71" s="52" t="s">
        <v>762</v>
      </c>
      <c r="E71" s="52" t="s">
        <v>763</v>
      </c>
      <c r="F71" s="52" t="s">
        <v>764</v>
      </c>
    </row>
    <row r="72">
      <c r="A72" s="53">
        <v>71.0</v>
      </c>
      <c r="B72" s="53" t="s">
        <v>147</v>
      </c>
      <c r="C72" s="52" t="s">
        <v>765</v>
      </c>
      <c r="D72" s="52" t="s">
        <v>766</v>
      </c>
      <c r="E72" s="52" t="s">
        <v>767</v>
      </c>
      <c r="F72" s="52" t="s">
        <v>768</v>
      </c>
    </row>
    <row r="73">
      <c r="A73" s="53">
        <v>72.0</v>
      </c>
      <c r="B73" s="53" t="s">
        <v>149</v>
      </c>
      <c r="C73" s="52" t="s">
        <v>769</v>
      </c>
      <c r="D73" s="52" t="s">
        <v>770</v>
      </c>
      <c r="E73" s="52" t="s">
        <v>771</v>
      </c>
      <c r="F73" s="52" t="s">
        <v>772</v>
      </c>
    </row>
    <row r="74">
      <c r="A74" s="53">
        <v>73.0</v>
      </c>
      <c r="B74" s="53" t="s">
        <v>150</v>
      </c>
      <c r="C74" s="52" t="s">
        <v>769</v>
      </c>
      <c r="D74" s="52" t="s">
        <v>770</v>
      </c>
      <c r="E74" s="52" t="s">
        <v>771</v>
      </c>
      <c r="F74" s="52" t="s">
        <v>772</v>
      </c>
    </row>
    <row r="75">
      <c r="A75" s="53">
        <v>74.0</v>
      </c>
      <c r="B75" s="53" t="s">
        <v>151</v>
      </c>
      <c r="C75" s="52" t="s">
        <v>769</v>
      </c>
      <c r="D75" s="52" t="s">
        <v>770</v>
      </c>
      <c r="E75" s="52" t="s">
        <v>771</v>
      </c>
      <c r="F75" s="52" t="s">
        <v>772</v>
      </c>
    </row>
    <row r="76">
      <c r="A76" s="53">
        <v>75.0</v>
      </c>
      <c r="B76" s="53" t="s">
        <v>152</v>
      </c>
      <c r="C76" s="52" t="s">
        <v>773</v>
      </c>
      <c r="D76" s="52" t="s">
        <v>774</v>
      </c>
      <c r="E76" s="52" t="s">
        <v>775</v>
      </c>
      <c r="F76" s="52" t="s">
        <v>776</v>
      </c>
    </row>
    <row r="77">
      <c r="A77" s="53">
        <v>76.0</v>
      </c>
      <c r="B77" s="53" t="s">
        <v>153</v>
      </c>
      <c r="C77" s="52" t="s">
        <v>777</v>
      </c>
      <c r="D77" s="52" t="s">
        <v>778</v>
      </c>
      <c r="E77" s="52" t="s">
        <v>779</v>
      </c>
      <c r="F77" s="52" t="s">
        <v>780</v>
      </c>
    </row>
    <row r="78">
      <c r="A78" s="53">
        <v>77.0</v>
      </c>
      <c r="B78" s="53" t="s">
        <v>154</v>
      </c>
      <c r="C78" s="52" t="s">
        <v>781</v>
      </c>
      <c r="D78" s="52" t="s">
        <v>782</v>
      </c>
      <c r="E78" s="52" t="s">
        <v>783</v>
      </c>
      <c r="F78" s="52" t="s">
        <v>784</v>
      </c>
    </row>
    <row r="79">
      <c r="A79" s="53">
        <v>78.0</v>
      </c>
      <c r="B79" s="53" t="s">
        <v>155</v>
      </c>
      <c r="C79" s="52" t="s">
        <v>785</v>
      </c>
      <c r="D79" s="52" t="s">
        <v>786</v>
      </c>
      <c r="E79" s="52" t="s">
        <v>787</v>
      </c>
      <c r="F79" s="52" t="s">
        <v>788</v>
      </c>
    </row>
    <row r="80">
      <c r="A80" s="53">
        <v>79.0</v>
      </c>
      <c r="B80" s="53" t="s">
        <v>156</v>
      </c>
      <c r="C80" s="52" t="s">
        <v>789</v>
      </c>
      <c r="D80" s="52" t="s">
        <v>790</v>
      </c>
      <c r="E80" s="52" t="s">
        <v>791</v>
      </c>
      <c r="F80" s="52" t="s">
        <v>792</v>
      </c>
    </row>
    <row r="81">
      <c r="A81" s="53">
        <v>80.0</v>
      </c>
      <c r="B81" s="53" t="s">
        <v>157</v>
      </c>
      <c r="C81" s="52" t="s">
        <v>793</v>
      </c>
      <c r="D81" s="52" t="s">
        <v>794</v>
      </c>
      <c r="E81" s="52" t="s">
        <v>795</v>
      </c>
      <c r="F81" s="52" t="s">
        <v>796</v>
      </c>
    </row>
    <row r="82">
      <c r="A82" s="53">
        <v>81.0</v>
      </c>
      <c r="B82" s="53" t="s">
        <v>158</v>
      </c>
      <c r="C82" s="52" t="s">
        <v>55</v>
      </c>
      <c r="D82" s="52" t="s">
        <v>55</v>
      </c>
      <c r="E82" s="52" t="s">
        <v>55</v>
      </c>
      <c r="F82" s="52" t="s">
        <v>55</v>
      </c>
    </row>
    <row r="83">
      <c r="A83" s="53">
        <v>82.0</v>
      </c>
      <c r="B83" s="53" t="s">
        <v>159</v>
      </c>
      <c r="C83" s="52" t="s">
        <v>55</v>
      </c>
      <c r="D83" s="52" t="s">
        <v>55</v>
      </c>
      <c r="E83" s="52" t="s">
        <v>55</v>
      </c>
      <c r="F83" s="52" t="s">
        <v>55</v>
      </c>
    </row>
    <row r="84">
      <c r="A84" s="53">
        <v>83.0</v>
      </c>
      <c r="B84" s="53" t="s">
        <v>160</v>
      </c>
      <c r="C84" s="52" t="s">
        <v>55</v>
      </c>
      <c r="D84" s="52" t="s">
        <v>55</v>
      </c>
      <c r="E84" s="52" t="s">
        <v>55</v>
      </c>
      <c r="F84" s="52" t="s">
        <v>55</v>
      </c>
    </row>
    <row r="85">
      <c r="A85" s="53">
        <v>84.0</v>
      </c>
      <c r="B85" s="53" t="s">
        <v>161</v>
      </c>
      <c r="C85" s="52" t="s">
        <v>797</v>
      </c>
      <c r="D85" s="52" t="s">
        <v>798</v>
      </c>
      <c r="E85" s="52" t="s">
        <v>799</v>
      </c>
      <c r="F85" s="52" t="s">
        <v>800</v>
      </c>
    </row>
    <row r="86">
      <c r="A86" s="53">
        <v>85.0</v>
      </c>
      <c r="B86" s="53" t="s">
        <v>162</v>
      </c>
      <c r="C86" s="52" t="s">
        <v>797</v>
      </c>
      <c r="D86" s="52" t="s">
        <v>801</v>
      </c>
      <c r="E86" s="52" t="s">
        <v>802</v>
      </c>
      <c r="F86" s="52" t="s">
        <v>803</v>
      </c>
    </row>
    <row r="87">
      <c r="A87" s="53">
        <v>86.0</v>
      </c>
      <c r="B87" s="53" t="s">
        <v>163</v>
      </c>
      <c r="C87" s="52" t="s">
        <v>55</v>
      </c>
      <c r="D87" s="52" t="s">
        <v>55</v>
      </c>
      <c r="E87" s="52" t="s">
        <v>55</v>
      </c>
      <c r="F87" s="52" t="s">
        <v>55</v>
      </c>
    </row>
    <row r="88">
      <c r="A88" s="53">
        <v>87.0</v>
      </c>
      <c r="B88" s="53" t="s">
        <v>164</v>
      </c>
      <c r="C88" s="52" t="s">
        <v>55</v>
      </c>
      <c r="D88" s="52" t="s">
        <v>55</v>
      </c>
      <c r="E88" s="52" t="s">
        <v>55</v>
      </c>
      <c r="F88" s="52" t="s">
        <v>55</v>
      </c>
    </row>
    <row r="89">
      <c r="A89" s="53">
        <v>88.0</v>
      </c>
      <c r="B89" s="53" t="s">
        <v>165</v>
      </c>
      <c r="C89" s="52" t="s">
        <v>55</v>
      </c>
      <c r="D89" s="52" t="s">
        <v>55</v>
      </c>
      <c r="E89" s="52" t="s">
        <v>55</v>
      </c>
      <c r="F89" s="52" t="s">
        <v>55</v>
      </c>
    </row>
    <row r="90">
      <c r="A90" s="53">
        <v>89.0</v>
      </c>
      <c r="B90" s="53" t="s">
        <v>166</v>
      </c>
      <c r="C90" s="52" t="s">
        <v>55</v>
      </c>
      <c r="D90" s="52" t="s">
        <v>55</v>
      </c>
      <c r="E90" s="52" t="s">
        <v>55</v>
      </c>
      <c r="F90" s="52" t="s">
        <v>55</v>
      </c>
    </row>
    <row r="91">
      <c r="A91" s="53">
        <v>90.0</v>
      </c>
      <c r="B91" s="53" t="s">
        <v>167</v>
      </c>
      <c r="C91" s="52" t="s">
        <v>55</v>
      </c>
      <c r="D91" s="52" t="s">
        <v>55</v>
      </c>
      <c r="E91" s="52" t="s">
        <v>55</v>
      </c>
      <c r="F91" s="52" t="s">
        <v>55</v>
      </c>
    </row>
    <row r="92">
      <c r="A92" s="53">
        <v>91.0</v>
      </c>
      <c r="B92" s="53" t="s">
        <v>168</v>
      </c>
      <c r="C92" s="52" t="s">
        <v>804</v>
      </c>
      <c r="D92" s="52" t="s">
        <v>805</v>
      </c>
      <c r="E92" s="52" t="s">
        <v>806</v>
      </c>
      <c r="F92" s="52" t="s">
        <v>807</v>
      </c>
    </row>
    <row r="93">
      <c r="A93" s="53">
        <v>92.0</v>
      </c>
      <c r="B93" s="53" t="s">
        <v>169</v>
      </c>
      <c r="C93" s="52" t="s">
        <v>808</v>
      </c>
      <c r="D93" s="52" t="s">
        <v>809</v>
      </c>
      <c r="E93" s="52" t="s">
        <v>810</v>
      </c>
      <c r="F93" s="52" t="s">
        <v>811</v>
      </c>
    </row>
    <row r="94">
      <c r="A94" s="53">
        <v>93.0</v>
      </c>
      <c r="B94" s="53" t="s">
        <v>170</v>
      </c>
      <c r="C94" s="52" t="s">
        <v>55</v>
      </c>
      <c r="D94" s="52" t="s">
        <v>55</v>
      </c>
      <c r="E94" s="52" t="s">
        <v>55</v>
      </c>
      <c r="F94" s="52" t="s">
        <v>55</v>
      </c>
    </row>
    <row r="95">
      <c r="A95" s="53">
        <v>94.0</v>
      </c>
      <c r="B95" s="53" t="s">
        <v>171</v>
      </c>
      <c r="C95" s="52" t="s">
        <v>55</v>
      </c>
      <c r="D95" s="52" t="s">
        <v>55</v>
      </c>
      <c r="E95" s="52" t="s">
        <v>55</v>
      </c>
      <c r="F95" s="52" t="s">
        <v>55</v>
      </c>
    </row>
    <row r="96">
      <c r="A96" s="53">
        <v>95.0</v>
      </c>
      <c r="B96" s="53" t="s">
        <v>172</v>
      </c>
      <c r="C96" s="52" t="s">
        <v>55</v>
      </c>
      <c r="D96" s="52" t="s">
        <v>55</v>
      </c>
      <c r="E96" s="52" t="s">
        <v>55</v>
      </c>
      <c r="F96" s="52" t="s">
        <v>55</v>
      </c>
    </row>
    <row r="97">
      <c r="A97" s="53">
        <v>96.0</v>
      </c>
      <c r="B97" s="53" t="s">
        <v>173</v>
      </c>
      <c r="C97" s="52" t="s">
        <v>55</v>
      </c>
      <c r="D97" s="52" t="s">
        <v>55</v>
      </c>
      <c r="E97" s="52" t="s">
        <v>55</v>
      </c>
      <c r="F97" s="52" t="s">
        <v>55</v>
      </c>
    </row>
    <row r="98">
      <c r="A98" s="53">
        <v>97.0</v>
      </c>
      <c r="B98" s="53" t="s">
        <v>174</v>
      </c>
      <c r="C98" s="52" t="s">
        <v>55</v>
      </c>
      <c r="D98" s="52" t="s">
        <v>55</v>
      </c>
      <c r="E98" s="52" t="s">
        <v>55</v>
      </c>
      <c r="F98" s="52" t="s">
        <v>55</v>
      </c>
    </row>
    <row r="99">
      <c r="A99" s="53">
        <v>98.0</v>
      </c>
      <c r="B99" s="53" t="s">
        <v>175</v>
      </c>
      <c r="C99" s="52" t="s">
        <v>55</v>
      </c>
      <c r="D99" s="52" t="s">
        <v>55</v>
      </c>
      <c r="E99" s="52" t="s">
        <v>55</v>
      </c>
      <c r="F99" s="52" t="s">
        <v>55</v>
      </c>
    </row>
    <row r="100">
      <c r="A100" s="53">
        <v>99.0</v>
      </c>
      <c r="B100" s="53" t="s">
        <v>177</v>
      </c>
      <c r="C100" s="52" t="s">
        <v>55</v>
      </c>
      <c r="D100" s="52" t="s">
        <v>55</v>
      </c>
      <c r="E100" s="52" t="s">
        <v>55</v>
      </c>
      <c r="F100" s="52" t="s">
        <v>55</v>
      </c>
    </row>
    <row r="101">
      <c r="A101" s="53">
        <v>100.0</v>
      </c>
      <c r="B101" s="53" t="s">
        <v>178</v>
      </c>
      <c r="C101" s="52" t="s">
        <v>55</v>
      </c>
      <c r="D101" s="52" t="s">
        <v>55</v>
      </c>
      <c r="E101" s="52" t="s">
        <v>55</v>
      </c>
      <c r="F101" s="52" t="s">
        <v>55</v>
      </c>
    </row>
    <row r="102">
      <c r="A102" s="53">
        <v>101.0</v>
      </c>
      <c r="B102" s="53" t="s">
        <v>179</v>
      </c>
      <c r="C102" s="52" t="s">
        <v>55</v>
      </c>
      <c r="D102" s="52" t="s">
        <v>55</v>
      </c>
      <c r="E102" s="52" t="s">
        <v>55</v>
      </c>
      <c r="F102" s="52" t="s">
        <v>55</v>
      </c>
    </row>
    <row r="103">
      <c r="A103" s="53">
        <v>102.0</v>
      </c>
      <c r="B103" s="53" t="s">
        <v>181</v>
      </c>
      <c r="C103" s="52" t="s">
        <v>55</v>
      </c>
      <c r="D103" s="52" t="s">
        <v>55</v>
      </c>
      <c r="E103" s="52" t="s">
        <v>55</v>
      </c>
      <c r="F103" s="52" t="s">
        <v>55</v>
      </c>
    </row>
    <row r="104">
      <c r="A104" s="53">
        <v>103.0</v>
      </c>
      <c r="B104" s="53" t="s">
        <v>182</v>
      </c>
      <c r="C104" s="52" t="s">
        <v>55</v>
      </c>
      <c r="D104" s="52" t="s">
        <v>55</v>
      </c>
      <c r="E104" s="52" t="s">
        <v>55</v>
      </c>
      <c r="F104" s="52" t="s">
        <v>55</v>
      </c>
    </row>
    <row r="105">
      <c r="A105" s="53">
        <v>104.0</v>
      </c>
      <c r="B105" s="53" t="s">
        <v>183</v>
      </c>
      <c r="C105" s="52" t="s">
        <v>55</v>
      </c>
      <c r="D105" s="52" t="s">
        <v>55</v>
      </c>
      <c r="E105" s="52" t="s">
        <v>55</v>
      </c>
      <c r="F105" s="52" t="s">
        <v>55</v>
      </c>
    </row>
    <row r="106">
      <c r="A106" s="53">
        <v>105.0</v>
      </c>
      <c r="B106" s="53" t="s">
        <v>185</v>
      </c>
      <c r="C106" s="52" t="s">
        <v>55</v>
      </c>
      <c r="D106" s="52" t="s">
        <v>55</v>
      </c>
      <c r="E106" s="52" t="s">
        <v>55</v>
      </c>
      <c r="F106" s="52" t="s">
        <v>55</v>
      </c>
    </row>
    <row r="107">
      <c r="A107" s="53">
        <v>106.0</v>
      </c>
      <c r="B107" s="53" t="s">
        <v>186</v>
      </c>
      <c r="C107" s="52" t="s">
        <v>55</v>
      </c>
      <c r="D107" s="52" t="s">
        <v>55</v>
      </c>
      <c r="E107" s="52" t="s">
        <v>55</v>
      </c>
      <c r="F107" s="52" t="s">
        <v>55</v>
      </c>
    </row>
    <row r="108">
      <c r="A108" s="53">
        <v>107.0</v>
      </c>
      <c r="B108" s="53" t="s">
        <v>187</v>
      </c>
      <c r="C108" s="52" t="s">
        <v>55</v>
      </c>
      <c r="D108" s="52" t="s">
        <v>55</v>
      </c>
      <c r="E108" s="52" t="s">
        <v>55</v>
      </c>
      <c r="F108" s="52" t="s">
        <v>55</v>
      </c>
    </row>
    <row r="109">
      <c r="A109" s="53">
        <v>108.0</v>
      </c>
      <c r="B109" s="53" t="s">
        <v>188</v>
      </c>
      <c r="C109" s="52" t="s">
        <v>812</v>
      </c>
      <c r="D109" s="52" t="s">
        <v>813</v>
      </c>
      <c r="E109" s="52" t="s">
        <v>814</v>
      </c>
      <c r="F109" s="52" t="s">
        <v>815</v>
      </c>
    </row>
    <row r="110">
      <c r="A110" s="53">
        <v>109.0</v>
      </c>
      <c r="B110" s="53" t="s">
        <v>190</v>
      </c>
      <c r="C110" s="52" t="s">
        <v>55</v>
      </c>
      <c r="D110" s="52" t="s">
        <v>55</v>
      </c>
      <c r="E110" s="52" t="s">
        <v>55</v>
      </c>
      <c r="F110" s="52" t="s">
        <v>55</v>
      </c>
    </row>
    <row r="111">
      <c r="A111" s="53">
        <v>110.0</v>
      </c>
      <c r="B111" s="53" t="s">
        <v>191</v>
      </c>
      <c r="C111" s="52" t="s">
        <v>55</v>
      </c>
      <c r="D111" s="52" t="s">
        <v>55</v>
      </c>
      <c r="E111" s="52" t="s">
        <v>55</v>
      </c>
      <c r="F111" s="52" t="s">
        <v>55</v>
      </c>
    </row>
    <row r="112">
      <c r="A112" s="53">
        <v>111.0</v>
      </c>
      <c r="B112" s="53" t="s">
        <v>192</v>
      </c>
      <c r="C112" s="52" t="s">
        <v>55</v>
      </c>
      <c r="D112" s="52" t="s">
        <v>55</v>
      </c>
      <c r="E112" s="52" t="s">
        <v>55</v>
      </c>
      <c r="F112" s="52" t="s">
        <v>55</v>
      </c>
    </row>
    <row r="113">
      <c r="A113" s="53">
        <v>112.0</v>
      </c>
      <c r="B113" s="53" t="s">
        <v>194</v>
      </c>
      <c r="C113" s="52" t="s">
        <v>816</v>
      </c>
      <c r="D113" s="52" t="s">
        <v>817</v>
      </c>
      <c r="E113" s="52" t="s">
        <v>818</v>
      </c>
      <c r="F113" s="52" t="s">
        <v>819</v>
      </c>
    </row>
    <row r="114">
      <c r="A114" s="53">
        <v>113.0</v>
      </c>
      <c r="B114" s="53" t="s">
        <v>195</v>
      </c>
      <c r="C114" s="52" t="s">
        <v>820</v>
      </c>
      <c r="D114" s="52" t="s">
        <v>821</v>
      </c>
      <c r="E114" s="52" t="s">
        <v>822</v>
      </c>
      <c r="F114" s="52" t="s">
        <v>823</v>
      </c>
    </row>
    <row r="115">
      <c r="A115" s="53">
        <v>114.0</v>
      </c>
      <c r="B115" s="53" t="s">
        <v>196</v>
      </c>
      <c r="C115" s="52" t="s">
        <v>824</v>
      </c>
      <c r="D115" s="52" t="s">
        <v>825</v>
      </c>
      <c r="E115" s="52" t="s">
        <v>826</v>
      </c>
      <c r="F115" s="52" t="s">
        <v>827</v>
      </c>
    </row>
    <row r="116">
      <c r="A116" s="53">
        <v>115.0</v>
      </c>
      <c r="B116" s="53" t="s">
        <v>198</v>
      </c>
      <c r="C116" s="52" t="s">
        <v>828</v>
      </c>
      <c r="D116" s="52" t="s">
        <v>829</v>
      </c>
      <c r="E116" s="52" t="s">
        <v>830</v>
      </c>
      <c r="F116" s="52" t="s">
        <v>831</v>
      </c>
    </row>
    <row r="117">
      <c r="A117" s="53">
        <v>116.0</v>
      </c>
      <c r="B117" s="53" t="s">
        <v>199</v>
      </c>
      <c r="C117" s="52" t="s">
        <v>828</v>
      </c>
      <c r="D117" s="52" t="s">
        <v>829</v>
      </c>
      <c r="E117" s="52" t="s">
        <v>830</v>
      </c>
      <c r="F117" s="52" t="s">
        <v>831</v>
      </c>
    </row>
    <row r="118">
      <c r="A118" s="53">
        <v>117.0</v>
      </c>
      <c r="B118" s="53" t="s">
        <v>200</v>
      </c>
      <c r="C118" s="52" t="s">
        <v>828</v>
      </c>
      <c r="D118" s="52" t="s">
        <v>829</v>
      </c>
      <c r="E118" s="52" t="s">
        <v>830</v>
      </c>
      <c r="F118" s="52" t="s">
        <v>831</v>
      </c>
    </row>
    <row r="119">
      <c r="A119" s="53">
        <v>118.0</v>
      </c>
      <c r="B119" s="53" t="s">
        <v>202</v>
      </c>
      <c r="C119" s="52" t="s">
        <v>832</v>
      </c>
      <c r="D119" s="52" t="s">
        <v>833</v>
      </c>
      <c r="E119" s="52" t="s">
        <v>834</v>
      </c>
      <c r="F119" s="52" t="s">
        <v>835</v>
      </c>
    </row>
    <row r="120">
      <c r="A120" s="53">
        <v>119.0</v>
      </c>
      <c r="B120" s="53" t="s">
        <v>203</v>
      </c>
      <c r="C120" s="52" t="s">
        <v>836</v>
      </c>
      <c r="D120" s="52" t="s">
        <v>837</v>
      </c>
      <c r="E120" s="52" t="s">
        <v>838</v>
      </c>
      <c r="F120" s="52" t="s">
        <v>839</v>
      </c>
    </row>
    <row r="121">
      <c r="A121" s="53">
        <v>120.0</v>
      </c>
      <c r="B121" s="53" t="s">
        <v>204</v>
      </c>
      <c r="C121" s="52" t="s">
        <v>840</v>
      </c>
      <c r="D121" s="52" t="s">
        <v>841</v>
      </c>
      <c r="E121" s="52" t="s">
        <v>842</v>
      </c>
      <c r="F121" s="52" t="s">
        <v>843</v>
      </c>
    </row>
    <row r="122">
      <c r="A122" s="53">
        <v>121.0</v>
      </c>
      <c r="B122" s="53" t="s">
        <v>206</v>
      </c>
      <c r="C122" s="52" t="s">
        <v>844</v>
      </c>
      <c r="D122" s="52" t="s">
        <v>845</v>
      </c>
      <c r="E122" s="52" t="s">
        <v>783</v>
      </c>
      <c r="F122" s="52" t="s">
        <v>846</v>
      </c>
    </row>
    <row r="123">
      <c r="A123" s="53">
        <v>122.0</v>
      </c>
      <c r="B123" s="53" t="s">
        <v>207</v>
      </c>
      <c r="C123" s="52" t="s">
        <v>844</v>
      </c>
      <c r="D123" s="52" t="s">
        <v>845</v>
      </c>
      <c r="E123" s="52" t="s">
        <v>783</v>
      </c>
      <c r="F123" s="52" t="s">
        <v>846</v>
      </c>
    </row>
    <row r="124">
      <c r="A124" s="53">
        <v>123.0</v>
      </c>
      <c r="B124" s="53" t="s">
        <v>208</v>
      </c>
      <c r="C124" s="52" t="s">
        <v>844</v>
      </c>
      <c r="D124" s="52" t="s">
        <v>845</v>
      </c>
      <c r="E124" s="52" t="s">
        <v>783</v>
      </c>
      <c r="F124" s="52" t="s">
        <v>846</v>
      </c>
    </row>
    <row r="125">
      <c r="A125" s="53">
        <v>124.0</v>
      </c>
      <c r="B125" s="53" t="s">
        <v>210</v>
      </c>
      <c r="C125" s="52" t="s">
        <v>847</v>
      </c>
      <c r="D125" s="52" t="s">
        <v>848</v>
      </c>
      <c r="E125" s="52" t="s">
        <v>849</v>
      </c>
      <c r="F125" s="52" t="s">
        <v>850</v>
      </c>
    </row>
    <row r="126">
      <c r="A126" s="53">
        <v>125.0</v>
      </c>
      <c r="B126" s="53" t="s">
        <v>211</v>
      </c>
      <c r="C126" s="52" t="s">
        <v>847</v>
      </c>
      <c r="D126" s="52" t="s">
        <v>848</v>
      </c>
      <c r="E126" s="52" t="s">
        <v>849</v>
      </c>
      <c r="F126" s="52" t="s">
        <v>850</v>
      </c>
    </row>
    <row r="127">
      <c r="A127" s="53">
        <v>126.0</v>
      </c>
      <c r="B127" s="53" t="s">
        <v>212</v>
      </c>
      <c r="C127" s="52" t="s">
        <v>847</v>
      </c>
      <c r="D127" s="52" t="s">
        <v>848</v>
      </c>
      <c r="E127" s="52" t="s">
        <v>849</v>
      </c>
      <c r="F127" s="52" t="s">
        <v>850</v>
      </c>
    </row>
    <row r="128">
      <c r="A128" s="53">
        <v>127.0</v>
      </c>
      <c r="B128" s="53" t="s">
        <v>214</v>
      </c>
      <c r="C128" s="52" t="s">
        <v>851</v>
      </c>
      <c r="D128" s="52" t="s">
        <v>852</v>
      </c>
      <c r="E128" s="52" t="s">
        <v>853</v>
      </c>
      <c r="F128" s="52" t="s">
        <v>854</v>
      </c>
    </row>
    <row r="129">
      <c r="A129" s="53">
        <v>128.0</v>
      </c>
      <c r="B129" s="53" t="s">
        <v>215</v>
      </c>
      <c r="C129" s="52" t="s">
        <v>851</v>
      </c>
      <c r="D129" s="52" t="s">
        <v>852</v>
      </c>
      <c r="E129" s="52" t="s">
        <v>853</v>
      </c>
      <c r="F129" s="52" t="s">
        <v>854</v>
      </c>
    </row>
    <row r="130">
      <c r="A130" s="53">
        <v>129.0</v>
      </c>
      <c r="B130" s="53" t="s">
        <v>216</v>
      </c>
      <c r="C130" s="52" t="s">
        <v>851</v>
      </c>
      <c r="D130" s="52" t="s">
        <v>852</v>
      </c>
      <c r="E130" s="52" t="s">
        <v>853</v>
      </c>
      <c r="F130" s="52" t="s">
        <v>854</v>
      </c>
    </row>
    <row r="131">
      <c r="A131" s="53">
        <v>130.0</v>
      </c>
      <c r="B131" s="53" t="s">
        <v>218</v>
      </c>
      <c r="C131" s="52" t="s">
        <v>855</v>
      </c>
      <c r="D131" s="52" t="s">
        <v>856</v>
      </c>
      <c r="E131" s="52" t="s">
        <v>791</v>
      </c>
      <c r="F131" s="52" t="s">
        <v>857</v>
      </c>
    </row>
    <row r="132">
      <c r="A132" s="53">
        <v>131.0</v>
      </c>
      <c r="B132" s="53" t="s">
        <v>219</v>
      </c>
      <c r="C132" s="52" t="s">
        <v>855</v>
      </c>
      <c r="D132" s="52" t="s">
        <v>856</v>
      </c>
      <c r="E132" s="52" t="s">
        <v>791</v>
      </c>
      <c r="F132" s="52" t="s">
        <v>857</v>
      </c>
    </row>
    <row r="133">
      <c r="A133" s="53">
        <v>132.0</v>
      </c>
      <c r="B133" s="53" t="s">
        <v>220</v>
      </c>
      <c r="C133" s="52" t="s">
        <v>855</v>
      </c>
      <c r="D133" s="52" t="s">
        <v>856</v>
      </c>
      <c r="E133" s="52" t="s">
        <v>791</v>
      </c>
      <c r="F133" s="52" t="s">
        <v>857</v>
      </c>
    </row>
    <row r="134">
      <c r="A134" s="53">
        <v>133.0</v>
      </c>
      <c r="B134" s="53" t="s">
        <v>222</v>
      </c>
      <c r="C134" s="52" t="s">
        <v>858</v>
      </c>
      <c r="D134" s="52" t="s">
        <v>859</v>
      </c>
      <c r="E134" s="52" t="s">
        <v>787</v>
      </c>
      <c r="F134" s="52" t="s">
        <v>860</v>
      </c>
    </row>
    <row r="135">
      <c r="A135" s="53">
        <v>134.0</v>
      </c>
      <c r="B135" s="53" t="s">
        <v>223</v>
      </c>
      <c r="C135" s="52" t="s">
        <v>858</v>
      </c>
      <c r="D135" s="52" t="s">
        <v>859</v>
      </c>
      <c r="E135" s="52" t="s">
        <v>787</v>
      </c>
      <c r="F135" s="52" t="s">
        <v>860</v>
      </c>
    </row>
    <row r="136">
      <c r="A136" s="53">
        <v>135.0</v>
      </c>
      <c r="B136" s="53" t="s">
        <v>224</v>
      </c>
      <c r="C136" s="52" t="s">
        <v>858</v>
      </c>
      <c r="D136" s="52" t="s">
        <v>859</v>
      </c>
      <c r="E136" s="52" t="s">
        <v>787</v>
      </c>
      <c r="F136" s="52" t="s">
        <v>860</v>
      </c>
    </row>
    <row r="137">
      <c r="A137" s="53">
        <v>136.0</v>
      </c>
      <c r="B137" s="53" t="s">
        <v>227</v>
      </c>
      <c r="C137" s="52" t="s">
        <v>861</v>
      </c>
      <c r="D137" s="52" t="s">
        <v>862</v>
      </c>
      <c r="E137" s="52" t="s">
        <v>863</v>
      </c>
      <c r="F137" s="52" t="s">
        <v>864</v>
      </c>
    </row>
    <row r="138">
      <c r="A138" s="53" t="e">
        <v>#N/A</v>
      </c>
      <c r="B138" s="53"/>
    </row>
  </sheetData>
  <drawing r:id="rId2"/>
  <legacyDrawing r:id="rId3"/>
</worksheet>
</file>

<file path=xl/worksheets/sheet8.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sheetData>
    <row r="1">
      <c r="A1" s="62" t="str">
        <f>IFERROR(__xludf.DUMMYFUNCTION("iferror(SPLIT(Tracker!L2,CHAR(10)),"""")"),"N/A")</f>
        <v>N/A</v>
      </c>
      <c r="B1" s="62"/>
      <c r="C1" s="62"/>
      <c r="D1" s="62"/>
      <c r="E1" s="63"/>
      <c r="F1" s="62" t="str">
        <f>IFERROR(__xludf.DUMMYFUNCTION("iferror(SPLIT(Tracker!N2,CHAR(10)),"""")"),"N/A")</f>
        <v>N/A</v>
      </c>
      <c r="G1" s="62"/>
      <c r="H1" s="62"/>
      <c r="I1" s="62"/>
      <c r="J1" s="63"/>
      <c r="K1" s="62" t="str">
        <f>IFERROR(__xludf.DUMMYFUNCTION("iferror(SPLIT(Tracker!P2,CHAR(10)),"""")"),"N/A")</f>
        <v>N/A</v>
      </c>
      <c r="L1" s="62"/>
      <c r="M1" s="62"/>
      <c r="N1" s="62"/>
      <c r="O1" s="63"/>
      <c r="P1" s="62" t="str">
        <f>IFERROR(__xludf.DUMMYFUNCTION("iferror(SPLIT(Tracker!R2,CHAR(10)),"""")"),"N/A")</f>
        <v>N/A</v>
      </c>
      <c r="Q1" s="62"/>
      <c r="R1" s="62"/>
      <c r="S1" s="62"/>
      <c r="T1" s="63"/>
      <c r="U1" s="62" t="str">
        <f>IFERROR(__xludf.DUMMYFUNCTION("QUERY( ARRAYFORMULA( FLATTEN (TRIM ($A$1:$T$161 ) )), "" where Col1&lt;&gt;'' "")"),"N/A")</f>
        <v>N/A</v>
      </c>
      <c r="V1" s="62" t="str">
        <f>IFERROR(__xludf.DUMMYFUNCTION("SPLIT(U1,"" "")"),"N/A")</f>
        <v>N/A</v>
      </c>
      <c r="W1" s="62"/>
      <c r="X1" s="62"/>
      <c r="Y1" s="62"/>
      <c r="Z1" s="62"/>
      <c r="AA1" s="62"/>
      <c r="AB1" s="63"/>
      <c r="AC1" s="62" t="str">
        <f t="shared" ref="AC1:AC4" si="1">TEXTJOIN(" ",TRUE,W1:AA1)</f>
        <v/>
      </c>
    </row>
    <row r="2">
      <c r="A2" s="62" t="str">
        <f>IFERROR(__xludf.DUMMYFUNCTION("iferror(SPLIT(Tracker!L3,CHAR(10)),"""")"),"N/A")</f>
        <v>N/A</v>
      </c>
      <c r="B2" s="62"/>
      <c r="C2" s="62"/>
      <c r="D2" s="62"/>
      <c r="E2" s="63"/>
      <c r="F2" s="62" t="str">
        <f>IFERROR(__xludf.DUMMYFUNCTION("iferror(SPLIT(Tracker!N3,CHAR(10)),"""")"),"N/A")</f>
        <v>N/A</v>
      </c>
      <c r="G2" s="62"/>
      <c r="H2" s="62"/>
      <c r="I2" s="62"/>
      <c r="J2" s="63"/>
      <c r="K2" s="62" t="str">
        <f>IFERROR(__xludf.DUMMYFUNCTION("iferror(SPLIT(Tracker!P3,CHAR(10)),"""")"),"N/A")</f>
        <v>N/A</v>
      </c>
      <c r="L2" s="62"/>
      <c r="M2" s="62"/>
      <c r="N2" s="62"/>
      <c r="O2" s="63"/>
      <c r="P2" s="62" t="str">
        <f>IFERROR(__xludf.DUMMYFUNCTION("iferror(SPLIT(Tracker!R3,CHAR(10)),"""")"),"N/A")</f>
        <v>N/A</v>
      </c>
      <c r="Q2" s="62"/>
      <c r="R2" s="62"/>
      <c r="S2" s="62"/>
      <c r="T2" s="63"/>
      <c r="U2" s="62" t="str">
        <f>IFERROR(__xludf.DUMMYFUNCTION("""COMPUTED_VALUE"""),"N/A")</f>
        <v>N/A</v>
      </c>
      <c r="V2" s="62" t="str">
        <f>IFERROR(__xludf.DUMMYFUNCTION("SPLIT(U2,"" "")"),"N/A")</f>
        <v>N/A</v>
      </c>
      <c r="W2" s="62"/>
      <c r="X2" s="62"/>
      <c r="Y2" s="62"/>
      <c r="Z2" s="62"/>
      <c r="AA2" s="62"/>
      <c r="AB2" s="63"/>
      <c r="AC2" s="62" t="str">
        <f t="shared" si="1"/>
        <v/>
      </c>
    </row>
    <row r="3">
      <c r="A3" s="62" t="str">
        <f>IFERROR(__xludf.DUMMYFUNCTION("iferror(SPLIT(Tracker!L4,CHAR(10)),"""")"),"N/A")</f>
        <v>N/A</v>
      </c>
      <c r="B3" s="62"/>
      <c r="C3" s="62"/>
      <c r="D3" s="62"/>
      <c r="E3" s="63"/>
      <c r="F3" s="62" t="str">
        <f>IFERROR(__xludf.DUMMYFUNCTION("iferror(SPLIT(Tracker!N4,CHAR(10)),"""")"),"N/A")</f>
        <v>N/A</v>
      </c>
      <c r="G3" s="62"/>
      <c r="H3" s="62"/>
      <c r="I3" s="62"/>
      <c r="J3" s="63"/>
      <c r="K3" s="62" t="str">
        <f>IFERROR(__xludf.DUMMYFUNCTION("iferror(SPLIT(Tracker!P4,CHAR(10)),"""")"),"N/A")</f>
        <v>N/A</v>
      </c>
      <c r="L3" s="62"/>
      <c r="M3" s="62"/>
      <c r="N3" s="62"/>
      <c r="O3" s="63"/>
      <c r="P3" s="62" t="str">
        <f>IFERROR(__xludf.DUMMYFUNCTION("iferror(SPLIT(Tracker!R4,CHAR(10)),"""")"),"N/A")</f>
        <v>N/A</v>
      </c>
      <c r="Q3" s="62"/>
      <c r="R3" s="62"/>
      <c r="S3" s="62"/>
      <c r="T3" s="63"/>
      <c r="U3" s="62" t="str">
        <f>IFERROR(__xludf.DUMMYFUNCTION("""COMPUTED_VALUE"""),"N/A")</f>
        <v>N/A</v>
      </c>
      <c r="V3" s="62" t="str">
        <f>IFERROR(__xludf.DUMMYFUNCTION("SPLIT(U3,"" "")"),"N/A")</f>
        <v>N/A</v>
      </c>
      <c r="W3" s="62"/>
      <c r="X3" s="62"/>
      <c r="Y3" s="62"/>
      <c r="Z3" s="62"/>
      <c r="AA3" s="62"/>
      <c r="AB3" s="63"/>
      <c r="AC3" s="62" t="str">
        <f t="shared" si="1"/>
        <v/>
      </c>
    </row>
    <row r="4">
      <c r="A4" s="62" t="str">
        <f>IFERROR(__xludf.DUMMYFUNCTION("iferror(SPLIT(Tracker!L5,CHAR(10)),"""")"),"5 Bokoblin Horn")</f>
        <v>5 Bokoblin Horn</v>
      </c>
      <c r="B4" s="62"/>
      <c r="C4" s="62"/>
      <c r="D4" s="62"/>
      <c r="E4" s="63"/>
      <c r="F4" s="62" t="str">
        <f>IFERROR(__xludf.DUMMYFUNCTION("iferror(SPLIT(Tracker!N5,CHAR(10)),"""")"),"5 Blue Bokoblin Horn")</f>
        <v>5 Blue Bokoblin Horn</v>
      </c>
      <c r="G4" s="62" t="str">
        <f>IFERROR(__xludf.DUMMYFUNCTION("""COMPUTED_VALUE"""),"3 Bokoblin Fang")</f>
        <v>3 Bokoblin Fang</v>
      </c>
      <c r="H4" s="62"/>
      <c r="I4" s="62"/>
      <c r="J4" s="63"/>
      <c r="K4" s="62" t="str">
        <f>IFERROR(__xludf.DUMMYFUNCTION("iferror(SPLIT(Tracker!P5,CHAR(10)),"""")"),"5 Black Bokoblin Horn")</f>
        <v>5 Black Bokoblin Horn</v>
      </c>
      <c r="L4" s="62" t="str">
        <f>IFERROR(__xludf.DUMMYFUNCTION("""COMPUTED_VALUE"""),"3 Bokoblin Guts")</f>
        <v>3 Bokoblin Guts</v>
      </c>
      <c r="M4" s="62" t="str">
        <f>IFERROR(__xludf.DUMMYFUNCTION("""COMPUTED_VALUE"""),"20 Amber")</f>
        <v>20 Amber</v>
      </c>
      <c r="N4" s="62"/>
      <c r="O4" s="63"/>
      <c r="P4" s="62" t="str">
        <f>IFERROR(__xludf.DUMMYFUNCTION("iferror(SPLIT(Tracker!R5,CHAR(10)),"""")"),"5 Silver Bokoblin Horn")</f>
        <v>5 Silver Bokoblin Horn</v>
      </c>
      <c r="Q4" s="62" t="str">
        <f>IFERROR(__xludf.DUMMYFUNCTION("""COMPUTED_VALUE"""),"5 Bokoblin Guts")</f>
        <v>5 Bokoblin Guts</v>
      </c>
      <c r="R4" s="62" t="str">
        <f>IFERROR(__xludf.DUMMYFUNCTION("""COMPUTED_VALUE"""),"30 Amber")</f>
        <v>30 Amber</v>
      </c>
      <c r="S4" s="62"/>
      <c r="T4" s="63"/>
      <c r="U4" s="62" t="str">
        <f>IFERROR(__xludf.DUMMYFUNCTION("""COMPUTED_VALUE"""),"N/A")</f>
        <v>N/A</v>
      </c>
      <c r="V4" s="62" t="str">
        <f>IFERROR(__xludf.DUMMYFUNCTION("SPLIT(U4,"" "")"),"N/A")</f>
        <v>N/A</v>
      </c>
      <c r="W4" s="62"/>
      <c r="X4" s="62"/>
      <c r="Y4" s="62"/>
      <c r="Z4" s="62"/>
      <c r="AA4" s="62"/>
      <c r="AB4" s="63"/>
      <c r="AC4" s="62" t="str">
        <f t="shared" si="1"/>
        <v/>
      </c>
    </row>
    <row r="5">
      <c r="A5" s="62" t="str">
        <f>IFERROR(__xludf.DUMMYFUNCTION("iferror(SPLIT(Tracker!L6,CHAR(10)),"""")"),"5 Bokoblin Horn")</f>
        <v>5 Bokoblin Horn</v>
      </c>
      <c r="B5" s="62"/>
      <c r="C5" s="62"/>
      <c r="D5" s="62"/>
      <c r="E5" s="63"/>
      <c r="F5" s="62" t="str">
        <f>IFERROR(__xludf.DUMMYFUNCTION("iferror(SPLIT(Tracker!N6,CHAR(10)),"""")"),"5 Blue Bokoblin Horn")</f>
        <v>5 Blue Bokoblin Horn</v>
      </c>
      <c r="G5" s="62" t="str">
        <f>IFERROR(__xludf.DUMMYFUNCTION("""COMPUTED_VALUE"""),"3 Bokoblin Fang")</f>
        <v>3 Bokoblin Fang</v>
      </c>
      <c r="H5" s="62"/>
      <c r="I5" s="62"/>
      <c r="J5" s="63"/>
      <c r="K5" s="62" t="str">
        <f>IFERROR(__xludf.DUMMYFUNCTION("iferror(SPLIT(Tracker!P6,CHAR(10)),"""")"),"5 Black Bokoblin Horn")</f>
        <v>5 Black Bokoblin Horn</v>
      </c>
      <c r="L5" s="62" t="str">
        <f>IFERROR(__xludf.DUMMYFUNCTION("""COMPUTED_VALUE"""),"3 Bokoblin Guts")</f>
        <v>3 Bokoblin Guts</v>
      </c>
      <c r="M5" s="62" t="str">
        <f>IFERROR(__xludf.DUMMYFUNCTION("""COMPUTED_VALUE"""),"20 Amber")</f>
        <v>20 Amber</v>
      </c>
      <c r="N5" s="62"/>
      <c r="O5" s="63"/>
      <c r="P5" s="62" t="str">
        <f>IFERROR(__xludf.DUMMYFUNCTION("iferror(SPLIT(Tracker!R6,CHAR(10)),"""")"),"5 Silver Bokoblin Horn")</f>
        <v>5 Silver Bokoblin Horn</v>
      </c>
      <c r="Q5" s="62" t="str">
        <f>IFERROR(__xludf.DUMMYFUNCTION("""COMPUTED_VALUE"""),"5 Bokoblin Guts")</f>
        <v>5 Bokoblin Guts</v>
      </c>
      <c r="R5" s="62" t="str">
        <f>IFERROR(__xludf.DUMMYFUNCTION("""COMPUTED_VALUE"""),"30 Amber")</f>
        <v>30 Amber</v>
      </c>
      <c r="S5" s="62"/>
      <c r="T5" s="63"/>
      <c r="U5" s="62" t="str">
        <f>IFERROR(__xludf.DUMMYFUNCTION("""COMPUTED_VALUE"""),"N/A")</f>
        <v>N/A</v>
      </c>
      <c r="V5" s="62" t="str">
        <f>IFERROR(__xludf.DUMMYFUNCTION("SPLIT(U5,"" "")"),"N/A")</f>
        <v>N/A</v>
      </c>
      <c r="W5" s="62"/>
      <c r="X5" s="62"/>
      <c r="Y5" s="62"/>
      <c r="Z5" s="62"/>
      <c r="AA5" s="62"/>
      <c r="AB5" s="63"/>
      <c r="AC5" s="62"/>
    </row>
    <row r="6">
      <c r="A6" s="62" t="str">
        <f>IFERROR(__xludf.DUMMYFUNCTION("iferror(SPLIT(Tracker!L7,CHAR(10)),"""")"),"5 Bokoblin Horn")</f>
        <v>5 Bokoblin Horn</v>
      </c>
      <c r="B6" s="62"/>
      <c r="C6" s="62"/>
      <c r="D6" s="62"/>
      <c r="E6" s="63"/>
      <c r="F6" s="62" t="str">
        <f>IFERROR(__xludf.DUMMYFUNCTION("iferror(SPLIT(Tracker!N7,CHAR(10)),"""")"),"5 Blue Bokoblin Horn")</f>
        <v>5 Blue Bokoblin Horn</v>
      </c>
      <c r="G6" s="62" t="str">
        <f>IFERROR(__xludf.DUMMYFUNCTION("""COMPUTED_VALUE"""),"3 Bokoblin Fang")</f>
        <v>3 Bokoblin Fang</v>
      </c>
      <c r="H6" s="62"/>
      <c r="I6" s="62"/>
      <c r="J6" s="63"/>
      <c r="K6" s="62" t="str">
        <f>IFERROR(__xludf.DUMMYFUNCTION("iferror(SPLIT(Tracker!P7,CHAR(10)),"""")"),"5 Black Bokoblin Horn")</f>
        <v>5 Black Bokoblin Horn</v>
      </c>
      <c r="L6" s="62" t="str">
        <f>IFERROR(__xludf.DUMMYFUNCTION("""COMPUTED_VALUE"""),"3 Bokoblin Guts")</f>
        <v>3 Bokoblin Guts</v>
      </c>
      <c r="M6" s="62" t="str">
        <f>IFERROR(__xludf.DUMMYFUNCTION("""COMPUTED_VALUE"""),"20 Amber")</f>
        <v>20 Amber</v>
      </c>
      <c r="N6" s="62"/>
      <c r="O6" s="63"/>
      <c r="P6" s="62" t="str">
        <f>IFERROR(__xludf.DUMMYFUNCTION("iferror(SPLIT(Tracker!R7,CHAR(10)),"""")"),"5 Silver Bokoblin Horn")</f>
        <v>5 Silver Bokoblin Horn</v>
      </c>
      <c r="Q6" s="62" t="str">
        <f>IFERROR(__xludf.DUMMYFUNCTION("""COMPUTED_VALUE"""),"5 Bokoblin Guts")</f>
        <v>5 Bokoblin Guts</v>
      </c>
      <c r="R6" s="62" t="str">
        <f>IFERROR(__xludf.DUMMYFUNCTION("""COMPUTED_VALUE"""),"30 Amber")</f>
        <v>30 Amber</v>
      </c>
      <c r="S6" s="62"/>
      <c r="T6" s="63"/>
      <c r="U6" s="62" t="str">
        <f>IFERROR(__xludf.DUMMYFUNCTION("""COMPUTED_VALUE"""),"N/A")</f>
        <v>N/A</v>
      </c>
      <c r="V6" s="62" t="str">
        <f>IFERROR(__xludf.DUMMYFUNCTION("SPLIT(U6,"" "")"),"N/A")</f>
        <v>N/A</v>
      </c>
      <c r="W6" s="62"/>
      <c r="X6" s="62"/>
      <c r="Y6" s="62"/>
      <c r="Z6" s="62"/>
      <c r="AA6" s="62"/>
      <c r="AB6" s="63"/>
      <c r="AC6" s="62" t="str">
        <f t="shared" ref="AC6:AC1201" si="2">TEXTJOIN(" ",TRUE,W6:AA6)</f>
        <v/>
      </c>
    </row>
    <row r="7">
      <c r="A7" s="62" t="str">
        <f>IFERROR(__xludf.DUMMYFUNCTION("iferror(SPLIT(Tracker!L8,CHAR(10)),"""")"),"5 Bokoblin Horn")</f>
        <v>5 Bokoblin Horn</v>
      </c>
      <c r="B7" s="62"/>
      <c r="C7" s="62"/>
      <c r="D7" s="62"/>
      <c r="E7" s="63"/>
      <c r="F7" s="62" t="str">
        <f>IFERROR(__xludf.DUMMYFUNCTION("iferror(SPLIT(Tracker!N8,CHAR(10)),"""")"),"5 Blue Bokoblin Horn")</f>
        <v>5 Blue Bokoblin Horn</v>
      </c>
      <c r="G7" s="62" t="str">
        <f>IFERROR(__xludf.DUMMYFUNCTION("""COMPUTED_VALUE"""),"3 Bokoblin Fang")</f>
        <v>3 Bokoblin Fang</v>
      </c>
      <c r="H7" s="62"/>
      <c r="I7" s="62"/>
      <c r="J7" s="63"/>
      <c r="K7" s="62" t="str">
        <f>IFERROR(__xludf.DUMMYFUNCTION("iferror(SPLIT(Tracker!P8,CHAR(10)),"""")"),"5 Black Bokoblin Horn")</f>
        <v>5 Black Bokoblin Horn</v>
      </c>
      <c r="L7" s="62" t="str">
        <f>IFERROR(__xludf.DUMMYFUNCTION("""COMPUTED_VALUE"""),"3 Bokoblin Guts")</f>
        <v>3 Bokoblin Guts</v>
      </c>
      <c r="M7" s="62" t="str">
        <f>IFERROR(__xludf.DUMMYFUNCTION("""COMPUTED_VALUE"""),"20 Amber")</f>
        <v>20 Amber</v>
      </c>
      <c r="N7" s="62"/>
      <c r="O7" s="63"/>
      <c r="P7" s="62" t="str">
        <f>IFERROR(__xludf.DUMMYFUNCTION("iferror(SPLIT(Tracker!R8,CHAR(10)),"""")"),"5 Silver Bokoblin Horn")</f>
        <v>5 Silver Bokoblin Horn</v>
      </c>
      <c r="Q7" s="62" t="str">
        <f>IFERROR(__xludf.DUMMYFUNCTION("""COMPUTED_VALUE"""),"5 Bokoblin Guts")</f>
        <v>5 Bokoblin Guts</v>
      </c>
      <c r="R7" s="62" t="str">
        <f>IFERROR(__xludf.DUMMYFUNCTION("""COMPUTED_VALUE"""),"30 Amber")</f>
        <v>30 Amber</v>
      </c>
      <c r="S7" s="62"/>
      <c r="T7" s="63"/>
      <c r="U7" s="62" t="str">
        <f>IFERROR(__xludf.DUMMYFUNCTION("""COMPUTED_VALUE"""),"N/A")</f>
        <v>N/A</v>
      </c>
      <c r="V7" s="62" t="str">
        <f>IFERROR(__xludf.DUMMYFUNCTION("SPLIT(U7,"" "")"),"N/A")</f>
        <v>N/A</v>
      </c>
      <c r="W7" s="62"/>
      <c r="X7" s="62"/>
      <c r="Y7" s="62"/>
      <c r="Z7" s="62"/>
      <c r="AA7" s="62"/>
      <c r="AB7" s="63"/>
      <c r="AC7" s="62" t="str">
        <f t="shared" si="2"/>
        <v/>
      </c>
    </row>
    <row r="8">
      <c r="A8" s="62" t="str">
        <f>IFERROR(__xludf.DUMMYFUNCTION("iferror(SPLIT(Tracker!L9,CHAR(10)),"""")"),"5 Chuchu Jelly")</f>
        <v>5 Chuchu Jelly</v>
      </c>
      <c r="B8" s="62" t="str">
        <f>IFERROR(__xludf.DUMMYFUNCTION("""COMPUTED_VALUE"""),"3 Bokoblin Guts")</f>
        <v>3 Bokoblin Guts</v>
      </c>
      <c r="C8" s="62"/>
      <c r="D8" s="62"/>
      <c r="E8" s="63"/>
      <c r="F8" s="62" t="str">
        <f>IFERROR(__xludf.DUMMYFUNCTION("iferror(SPLIT(Tracker!N9,CHAR(10)),"""")"),"5 Keese Eyeball")</f>
        <v>5 Keese Eyeball</v>
      </c>
      <c r="G8" s="62" t="str">
        <f>IFERROR(__xludf.DUMMYFUNCTION("""COMPUTED_VALUE"""),"3 Moblin Guts")</f>
        <v>3 Moblin Guts</v>
      </c>
      <c r="H8" s="62"/>
      <c r="I8" s="62"/>
      <c r="J8" s="63"/>
      <c r="K8" s="62" t="str">
        <f>IFERROR(__xludf.DUMMYFUNCTION("iferror(SPLIT(Tracker!P9,CHAR(10)),"""")"),"3 Lizalfos Tail")</f>
        <v>3 Lizalfos Tail</v>
      </c>
      <c r="L8" s="62" t="str">
        <f>IFERROR(__xludf.DUMMYFUNCTION("""COMPUTED_VALUE"""),"3 Hinox Guts")</f>
        <v>3 Hinox Guts</v>
      </c>
      <c r="M8" s="62" t="str">
        <f>IFERROR(__xludf.DUMMYFUNCTION("""COMPUTED_VALUE"""),"30 Flint")</f>
        <v>30 Flint</v>
      </c>
      <c r="N8" s="62"/>
      <c r="O8" s="63"/>
      <c r="P8" s="62" t="str">
        <f>IFERROR(__xludf.DUMMYFUNCTION("iferror(SPLIT(Tracker!R9,CHAR(10)),"""")"),"5 Lynel Hoof")</f>
        <v>5 Lynel Hoof</v>
      </c>
      <c r="Q8" s="62" t="str">
        <f>IFERROR(__xludf.DUMMYFUNCTION("""COMPUTED_VALUE"""),"5 Lynel Guts")</f>
        <v>5 Lynel Guts</v>
      </c>
      <c r="R8" s="62" t="str">
        <f>IFERROR(__xludf.DUMMYFUNCTION("""COMPUTED_VALUE"""),"30 Amber")</f>
        <v>30 Amber</v>
      </c>
      <c r="S8" s="62"/>
      <c r="T8" s="63"/>
      <c r="U8" s="62" t="str">
        <f>IFERROR(__xludf.DUMMYFUNCTION("""COMPUTED_VALUE"""),"N/A")</f>
        <v>N/A</v>
      </c>
      <c r="V8" s="62" t="str">
        <f>IFERROR(__xludf.DUMMYFUNCTION("SPLIT(U8,"" "")"),"N/A")</f>
        <v>N/A</v>
      </c>
      <c r="W8" s="62"/>
      <c r="X8" s="62"/>
      <c r="Y8" s="62"/>
      <c r="Z8" s="62"/>
      <c r="AA8" s="62"/>
      <c r="AB8" s="63"/>
      <c r="AC8" s="62" t="str">
        <f t="shared" si="2"/>
        <v/>
      </c>
    </row>
    <row r="9">
      <c r="A9" s="62" t="str">
        <f>IFERROR(__xludf.DUMMYFUNCTION("iferror(SPLIT(Tracker!L10,CHAR(10)),"""")"),"5 Chuchu Jelly")</f>
        <v>5 Chuchu Jelly</v>
      </c>
      <c r="B9" s="62" t="str">
        <f>IFERROR(__xludf.DUMMYFUNCTION("""COMPUTED_VALUE"""),"3 Bokoblin Guts")</f>
        <v>3 Bokoblin Guts</v>
      </c>
      <c r="C9" s="62"/>
      <c r="D9" s="62"/>
      <c r="E9" s="63"/>
      <c r="F9" s="62" t="str">
        <f>IFERROR(__xludf.DUMMYFUNCTION("iferror(SPLIT(Tracker!N10,CHAR(10)),"""")"),"5 Keese Eyeball")</f>
        <v>5 Keese Eyeball</v>
      </c>
      <c r="G9" s="62" t="str">
        <f>IFERROR(__xludf.DUMMYFUNCTION("""COMPUTED_VALUE"""),"3 Moblin Guts")</f>
        <v>3 Moblin Guts</v>
      </c>
      <c r="H9" s="62"/>
      <c r="I9" s="62"/>
      <c r="J9" s="63"/>
      <c r="K9" s="62" t="str">
        <f>IFERROR(__xludf.DUMMYFUNCTION("iferror(SPLIT(Tracker!P10,CHAR(10)),"""")"),"3 Lizalfos Tail")</f>
        <v>3 Lizalfos Tail</v>
      </c>
      <c r="L9" s="62" t="str">
        <f>IFERROR(__xludf.DUMMYFUNCTION("""COMPUTED_VALUE"""),"3 Hinox Guts")</f>
        <v>3 Hinox Guts</v>
      </c>
      <c r="M9" s="62" t="str">
        <f>IFERROR(__xludf.DUMMYFUNCTION("""COMPUTED_VALUE"""),"30 Flint")</f>
        <v>30 Flint</v>
      </c>
      <c r="N9" s="62"/>
      <c r="O9" s="63"/>
      <c r="P9" s="62" t="str">
        <f>IFERROR(__xludf.DUMMYFUNCTION("iferror(SPLIT(Tracker!R10,CHAR(10)),"""")"),"5 Lynel Hoof")</f>
        <v>5 Lynel Hoof</v>
      </c>
      <c r="Q9" s="62" t="str">
        <f>IFERROR(__xludf.DUMMYFUNCTION("""COMPUTED_VALUE"""),"5 Lynel Guts")</f>
        <v>5 Lynel Guts</v>
      </c>
      <c r="R9" s="62" t="str">
        <f>IFERROR(__xludf.DUMMYFUNCTION("""COMPUTED_VALUE"""),"30 Amber")</f>
        <v>30 Amber</v>
      </c>
      <c r="S9" s="62"/>
      <c r="T9" s="63"/>
      <c r="U9" s="62" t="str">
        <f>IFERROR(__xludf.DUMMYFUNCTION("""COMPUTED_VALUE"""),"N/A")</f>
        <v>N/A</v>
      </c>
      <c r="V9" s="62" t="str">
        <f>IFERROR(__xludf.DUMMYFUNCTION("SPLIT(U9,"" "")"),"N/A")</f>
        <v>N/A</v>
      </c>
      <c r="W9" s="62"/>
      <c r="X9" s="62"/>
      <c r="Y9" s="62"/>
      <c r="Z9" s="62"/>
      <c r="AA9" s="62"/>
      <c r="AB9" s="63"/>
      <c r="AC9" s="62" t="str">
        <f t="shared" si="2"/>
        <v/>
      </c>
    </row>
    <row r="10">
      <c r="A10" s="62" t="str">
        <f>IFERROR(__xludf.DUMMYFUNCTION("iferror(SPLIT(Tracker!L11,CHAR(10)),"""")"),"5 Chuchu Jelly")</f>
        <v>5 Chuchu Jelly</v>
      </c>
      <c r="B10" s="62" t="str">
        <f>IFERROR(__xludf.DUMMYFUNCTION("""COMPUTED_VALUE"""),"3 Bokoblin Guts")</f>
        <v>3 Bokoblin Guts</v>
      </c>
      <c r="C10" s="62"/>
      <c r="D10" s="62"/>
      <c r="E10" s="63"/>
      <c r="F10" s="62" t="str">
        <f>IFERROR(__xludf.DUMMYFUNCTION("iferror(SPLIT(Tracker!N11,CHAR(10)),"""")"),"5 Keese Eyeball")</f>
        <v>5 Keese Eyeball</v>
      </c>
      <c r="G10" s="62" t="str">
        <f>IFERROR(__xludf.DUMMYFUNCTION("""COMPUTED_VALUE"""),"3 Moblin Guts")</f>
        <v>3 Moblin Guts</v>
      </c>
      <c r="H10" s="62"/>
      <c r="I10" s="62"/>
      <c r="J10" s="63"/>
      <c r="K10" s="62" t="str">
        <f>IFERROR(__xludf.DUMMYFUNCTION("iferror(SPLIT(Tracker!P11,CHAR(10)),"""")"),"3 Lizalfos Tail")</f>
        <v>3 Lizalfos Tail</v>
      </c>
      <c r="L10" s="62" t="str">
        <f>IFERROR(__xludf.DUMMYFUNCTION("""COMPUTED_VALUE"""),"3 Hinox Guts")</f>
        <v>3 Hinox Guts</v>
      </c>
      <c r="M10" s="62" t="str">
        <f>IFERROR(__xludf.DUMMYFUNCTION("""COMPUTED_VALUE"""),"30 Flint")</f>
        <v>30 Flint</v>
      </c>
      <c r="N10" s="62"/>
      <c r="O10" s="63"/>
      <c r="P10" s="62" t="str">
        <f>IFERROR(__xludf.DUMMYFUNCTION("iferror(SPLIT(Tracker!R11,CHAR(10)),"""")"),"5 Lynel Hoof")</f>
        <v>5 Lynel Hoof</v>
      </c>
      <c r="Q10" s="62" t="str">
        <f>IFERROR(__xludf.DUMMYFUNCTION("""COMPUTED_VALUE"""),"5 Lynel Guts")</f>
        <v>5 Lynel Guts</v>
      </c>
      <c r="R10" s="62" t="str">
        <f>IFERROR(__xludf.DUMMYFUNCTION("""COMPUTED_VALUE"""),"30 Amber")</f>
        <v>30 Amber</v>
      </c>
      <c r="S10" s="62"/>
      <c r="T10" s="63"/>
      <c r="U10" s="62" t="str">
        <f>IFERROR(__xludf.DUMMYFUNCTION("""COMPUTED_VALUE"""),"N/A")</f>
        <v>N/A</v>
      </c>
      <c r="V10" s="62" t="str">
        <f>IFERROR(__xludf.DUMMYFUNCTION("SPLIT(U10,"" "")"),"N/A")</f>
        <v>N/A</v>
      </c>
      <c r="W10" s="62"/>
      <c r="X10" s="62"/>
      <c r="Y10" s="62"/>
      <c r="Z10" s="62"/>
      <c r="AA10" s="62"/>
      <c r="AB10" s="63"/>
      <c r="AC10" s="62" t="str">
        <f t="shared" si="2"/>
        <v/>
      </c>
    </row>
    <row r="11">
      <c r="A11" s="62" t="str">
        <f>IFERROR(__xludf.DUMMYFUNCTION("iferror(SPLIT(Tracker!L12,CHAR(10)),"""")"),"3 Red Chuchu Jelly")</f>
        <v>3 Red Chuchu Jelly</v>
      </c>
      <c r="B11" s="62"/>
      <c r="C11" s="62"/>
      <c r="D11" s="62"/>
      <c r="E11" s="63"/>
      <c r="F11" s="62" t="str">
        <f>IFERROR(__xludf.DUMMYFUNCTION("iferror(SPLIT(Tracker!N12,CHAR(10)),"""")"),"5 Red Chuchu Jelly")</f>
        <v>5 Red Chuchu Jelly</v>
      </c>
      <c r="G11" s="62" t="str">
        <f>IFERROR(__xludf.DUMMYFUNCTION("""COMPUTED_VALUE"""),"3 Warm Safflina")</f>
        <v>3 Warm Safflina</v>
      </c>
      <c r="H11" s="62"/>
      <c r="I11" s="62"/>
      <c r="J11" s="63"/>
      <c r="K11" s="62" t="str">
        <f>IFERROR(__xludf.DUMMYFUNCTION("iferror(SPLIT(Tracker!P12,CHAR(10)),"""")"),"5 Fire Keese Wing")</f>
        <v>5 Fire Keese Wing</v>
      </c>
      <c r="L11" s="62" t="str">
        <f>IFERROR(__xludf.DUMMYFUNCTION("""COMPUTED_VALUE"""),"3 Fire-Breath Lizalfos Tail")</f>
        <v>3 Fire-Breath Lizalfos Tail</v>
      </c>
      <c r="M11" s="62" t="str">
        <f>IFERROR(__xludf.DUMMYFUNCTION("""COMPUTED_VALUE"""),"5 Sunshroom")</f>
        <v>5 Sunshroom</v>
      </c>
      <c r="N11" s="62"/>
      <c r="O11" s="63"/>
      <c r="P11" s="62" t="str">
        <f>IFERROR(__xludf.DUMMYFUNCTION("iferror(SPLIT(Tracker!R12,CHAR(10)),"""")"),"5 Fire-Breath Lizalfos Horn")</f>
        <v>5 Fire-Breath Lizalfos Horn</v>
      </c>
      <c r="Q11" s="62" t="str">
        <f>IFERROR(__xludf.DUMMYFUNCTION("""COMPUTED_VALUE"""),"10 Fire-Breath Lizalfos Tail")</f>
        <v>10 Fire-Breath Lizalfos Tail</v>
      </c>
      <c r="R11" s="62" t="str">
        <f>IFERROR(__xludf.DUMMYFUNCTION("""COMPUTED_VALUE"""),"5 Ruby")</f>
        <v>5 Ruby</v>
      </c>
      <c r="S11" s="62"/>
      <c r="T11" s="63"/>
      <c r="U11" s="62" t="str">
        <f>IFERROR(__xludf.DUMMYFUNCTION("""COMPUTED_VALUE"""),"N/A")</f>
        <v>N/A</v>
      </c>
      <c r="V11" s="62" t="str">
        <f>IFERROR(__xludf.DUMMYFUNCTION("SPLIT(U11,"" "")"),"N/A")</f>
        <v>N/A</v>
      </c>
      <c r="W11" s="62"/>
      <c r="X11" s="62"/>
      <c r="Y11" s="62"/>
      <c r="Z11" s="62"/>
      <c r="AA11" s="62"/>
      <c r="AB11" s="63"/>
      <c r="AC11" s="62" t="str">
        <f t="shared" si="2"/>
        <v/>
      </c>
    </row>
    <row r="12">
      <c r="A12" s="62" t="str">
        <f>IFERROR(__xludf.DUMMYFUNCTION("iferror(SPLIT(Tracker!L13,CHAR(10)),"""")"),"3 Red Chuchu Jelly")</f>
        <v>3 Red Chuchu Jelly</v>
      </c>
      <c r="B12" s="62"/>
      <c r="C12" s="62"/>
      <c r="D12" s="62"/>
      <c r="E12" s="63"/>
      <c r="F12" s="62" t="str">
        <f>IFERROR(__xludf.DUMMYFUNCTION("iferror(SPLIT(Tracker!N13,CHAR(10)),"""")"),"5 Red Chuchu Jelly")</f>
        <v>5 Red Chuchu Jelly</v>
      </c>
      <c r="G12" s="62" t="str">
        <f>IFERROR(__xludf.DUMMYFUNCTION("""COMPUTED_VALUE"""),"3 Warm Safflina")</f>
        <v>3 Warm Safflina</v>
      </c>
      <c r="H12" s="62"/>
      <c r="I12" s="62"/>
      <c r="J12" s="63"/>
      <c r="K12" s="62" t="str">
        <f>IFERROR(__xludf.DUMMYFUNCTION("iferror(SPLIT(Tracker!P13,CHAR(10)),"""")"),"5 Fire Keese Wing")</f>
        <v>5 Fire Keese Wing</v>
      </c>
      <c r="L12" s="62" t="str">
        <f>IFERROR(__xludf.DUMMYFUNCTION("""COMPUTED_VALUE"""),"3 Fire-Breath Lizalfos Tail")</f>
        <v>3 Fire-Breath Lizalfos Tail</v>
      </c>
      <c r="M12" s="62" t="str">
        <f>IFERROR(__xludf.DUMMYFUNCTION("""COMPUTED_VALUE"""),"5 Sunshroom")</f>
        <v>5 Sunshroom</v>
      </c>
      <c r="N12" s="62"/>
      <c r="O12" s="63"/>
      <c r="P12" s="62" t="str">
        <f>IFERROR(__xludf.DUMMYFUNCTION("iferror(SPLIT(Tracker!R13,CHAR(10)),"""")"),"5 Fire-Breath Lizalfos Horn")</f>
        <v>5 Fire-Breath Lizalfos Horn</v>
      </c>
      <c r="Q12" s="62" t="str">
        <f>IFERROR(__xludf.DUMMYFUNCTION("""COMPUTED_VALUE"""),"10 Fire-Breath Lizalfos Tail")</f>
        <v>10 Fire-Breath Lizalfos Tail</v>
      </c>
      <c r="R12" s="62" t="str">
        <f>IFERROR(__xludf.DUMMYFUNCTION("""COMPUTED_VALUE"""),"5 Ruby")</f>
        <v>5 Ruby</v>
      </c>
      <c r="S12" s="62"/>
      <c r="T12" s="63"/>
      <c r="U12" s="62" t="str">
        <f>IFERROR(__xludf.DUMMYFUNCTION("""COMPUTED_VALUE"""),"N/A")</f>
        <v>N/A</v>
      </c>
      <c r="V12" s="62" t="str">
        <f>IFERROR(__xludf.DUMMYFUNCTION("SPLIT(U12,"" "")"),"N/A")</f>
        <v>N/A</v>
      </c>
      <c r="W12" s="62"/>
      <c r="X12" s="62"/>
      <c r="Y12" s="62"/>
      <c r="Z12" s="62"/>
      <c r="AA12" s="62"/>
      <c r="AB12" s="63"/>
      <c r="AC12" s="62" t="str">
        <f t="shared" si="2"/>
        <v/>
      </c>
    </row>
    <row r="13">
      <c r="A13" s="62" t="str">
        <f>IFERROR(__xludf.DUMMYFUNCTION("iferror(SPLIT(Tracker!L14,CHAR(10)),"""")"),"3 Red Chuchu Jelly")</f>
        <v>3 Red Chuchu Jelly</v>
      </c>
      <c r="B13" s="62"/>
      <c r="C13" s="62"/>
      <c r="D13" s="62"/>
      <c r="E13" s="63"/>
      <c r="F13" s="62" t="str">
        <f>IFERROR(__xludf.DUMMYFUNCTION("iferror(SPLIT(Tracker!N14,CHAR(10)),"""")"),"5 Red Chuchu Jelly")</f>
        <v>5 Red Chuchu Jelly</v>
      </c>
      <c r="G13" s="62" t="str">
        <f>IFERROR(__xludf.DUMMYFUNCTION("""COMPUTED_VALUE"""),"3 Warm Safflina")</f>
        <v>3 Warm Safflina</v>
      </c>
      <c r="H13" s="62"/>
      <c r="I13" s="62"/>
      <c r="J13" s="63"/>
      <c r="K13" s="62" t="str">
        <f>IFERROR(__xludf.DUMMYFUNCTION("iferror(SPLIT(Tracker!P14,CHAR(10)),"""")"),"5 Fire Keese Wing")</f>
        <v>5 Fire Keese Wing</v>
      </c>
      <c r="L13" s="62" t="str">
        <f>IFERROR(__xludf.DUMMYFUNCTION("""COMPUTED_VALUE"""),"3 Fire-Breath Lizalfos Tail")</f>
        <v>3 Fire-Breath Lizalfos Tail</v>
      </c>
      <c r="M13" s="62" t="str">
        <f>IFERROR(__xludf.DUMMYFUNCTION("""COMPUTED_VALUE"""),"5 Sunshroom")</f>
        <v>5 Sunshroom</v>
      </c>
      <c r="N13" s="62"/>
      <c r="O13" s="63"/>
      <c r="P13" s="62" t="str">
        <f>IFERROR(__xludf.DUMMYFUNCTION("iferror(SPLIT(Tracker!R14,CHAR(10)),"""")"),"5 Fire-Breath Lizalfos Horn")</f>
        <v>5 Fire-Breath Lizalfos Horn</v>
      </c>
      <c r="Q13" s="62" t="str">
        <f>IFERROR(__xludf.DUMMYFUNCTION("""COMPUTED_VALUE"""),"10 Fire-Breath Lizalfos Tail")</f>
        <v>10 Fire-Breath Lizalfos Tail</v>
      </c>
      <c r="R13" s="62" t="str">
        <f>IFERROR(__xludf.DUMMYFUNCTION("""COMPUTED_VALUE"""),"5 Ruby")</f>
        <v>5 Ruby</v>
      </c>
      <c r="S13" s="62"/>
      <c r="T13" s="63"/>
      <c r="U13" s="62" t="str">
        <f>IFERROR(__xludf.DUMMYFUNCTION("""COMPUTED_VALUE"""),"5 Bokoblin Horn")</f>
        <v>5 Bokoblin Horn</v>
      </c>
      <c r="V13" s="62">
        <f>IFERROR(__xludf.DUMMYFUNCTION("SPLIT(U13,"" "")"),5.0)</f>
        <v>5</v>
      </c>
      <c r="W13" s="62" t="str">
        <f>IFERROR(__xludf.DUMMYFUNCTION("""COMPUTED_VALUE"""),"Bokoblin")</f>
        <v>Bokoblin</v>
      </c>
      <c r="X13" s="62" t="str">
        <f>IFERROR(__xludf.DUMMYFUNCTION("""COMPUTED_VALUE"""),"Horn")</f>
        <v>Horn</v>
      </c>
      <c r="Y13" s="62"/>
      <c r="Z13" s="62"/>
      <c r="AA13" s="62"/>
      <c r="AB13" s="63"/>
      <c r="AC13" s="62" t="str">
        <f t="shared" si="2"/>
        <v>Bokoblin Horn</v>
      </c>
    </row>
    <row r="14">
      <c r="A14" s="62" t="str">
        <f>IFERROR(__xludf.DUMMYFUNCTION("iferror(SPLIT(Tracker!L15,CHAR(10)),"""")"),"3 Moblin Horn")</f>
        <v>3 Moblin Horn</v>
      </c>
      <c r="B14" s="62"/>
      <c r="C14" s="62"/>
      <c r="D14" s="62"/>
      <c r="E14" s="63"/>
      <c r="F14" s="62" t="str">
        <f>IFERROR(__xludf.DUMMYFUNCTION("iferror(SPLIT(Tracker!N15,CHAR(10)),"""")"),"5 Moblin Fang")</f>
        <v>5 Moblin Fang</v>
      </c>
      <c r="G14" s="62" t="str">
        <f>IFERROR(__xludf.DUMMYFUNCTION("""COMPUTED_VALUE"""),"5 Fireproof Lizard")</f>
        <v>5 Fireproof Lizard</v>
      </c>
      <c r="H14" s="62"/>
      <c r="I14" s="62"/>
      <c r="J14" s="63"/>
      <c r="K14" s="62" t="str">
        <f>IFERROR(__xludf.DUMMYFUNCTION("iferror(SPLIT(Tracker!P15,CHAR(10)),"""")"),"5 Blue Moblin Horn")</f>
        <v>5 Blue Moblin Horn</v>
      </c>
      <c r="L14" s="62" t="str">
        <f>IFERROR(__xludf.DUMMYFUNCTION("""COMPUTED_VALUE"""),"3 Smotherwing Butterfly")</f>
        <v>3 Smotherwing Butterfly</v>
      </c>
      <c r="M14" s="62" t="str">
        <f>IFERROR(__xludf.DUMMYFUNCTION("""COMPUTED_VALUE"""),"15 Flint")</f>
        <v>15 Flint</v>
      </c>
      <c r="N14" s="62"/>
      <c r="O14" s="63"/>
      <c r="P14" s="62" t="str">
        <f>IFERROR(__xludf.DUMMYFUNCTION("iferror(SPLIT(Tracker!R15,CHAR(10)),"""")"),"5 Black Moblin Horn")</f>
        <v>5 Black Moblin Horn</v>
      </c>
      <c r="Q14" s="62" t="str">
        <f>IFERROR(__xludf.DUMMYFUNCTION("""COMPUTED_VALUE"""),"5 Smotherwing Butterfly")</f>
        <v>5 Smotherwing Butterfly</v>
      </c>
      <c r="R14" s="62" t="str">
        <f>IFERROR(__xludf.DUMMYFUNCTION("""COMPUTED_VALUE"""),"30 Flint")</f>
        <v>30 Flint</v>
      </c>
      <c r="S14" s="62"/>
      <c r="T14" s="63"/>
      <c r="U14" s="62" t="str">
        <f>IFERROR(__xludf.DUMMYFUNCTION("""COMPUTED_VALUE"""),"5 Blue Bokoblin Horn")</f>
        <v>5 Blue Bokoblin Horn</v>
      </c>
      <c r="V14" s="62">
        <f>IFERROR(__xludf.DUMMYFUNCTION("SPLIT(U14,"" "")"),5.0)</f>
        <v>5</v>
      </c>
      <c r="W14" s="62" t="str">
        <f>IFERROR(__xludf.DUMMYFUNCTION("""COMPUTED_VALUE"""),"Blue")</f>
        <v>Blue</v>
      </c>
      <c r="X14" s="62" t="str">
        <f>IFERROR(__xludf.DUMMYFUNCTION("""COMPUTED_VALUE"""),"Bokoblin")</f>
        <v>Bokoblin</v>
      </c>
      <c r="Y14" s="62" t="str">
        <f>IFERROR(__xludf.DUMMYFUNCTION("""COMPUTED_VALUE"""),"Horn")</f>
        <v>Horn</v>
      </c>
      <c r="Z14" s="62"/>
      <c r="AA14" s="62"/>
      <c r="AB14" s="63"/>
      <c r="AC14" s="62" t="str">
        <f t="shared" si="2"/>
        <v>Blue Bokoblin Horn</v>
      </c>
    </row>
    <row r="15">
      <c r="A15" s="62" t="str">
        <f>IFERROR(__xludf.DUMMYFUNCTION("iferror(SPLIT(Tracker!L16,CHAR(10)),"""")"),"3 Moblin Horn")</f>
        <v>3 Moblin Horn</v>
      </c>
      <c r="B15" s="62"/>
      <c r="C15" s="62"/>
      <c r="D15" s="62"/>
      <c r="E15" s="63"/>
      <c r="F15" s="62" t="str">
        <f>IFERROR(__xludf.DUMMYFUNCTION("iferror(SPLIT(Tracker!N16,CHAR(10)),"""")"),"5 Moblin Fang")</f>
        <v>5 Moblin Fang</v>
      </c>
      <c r="G15" s="62" t="str">
        <f>IFERROR(__xludf.DUMMYFUNCTION("""COMPUTED_VALUE"""),"5 Fireproof Lizard")</f>
        <v>5 Fireproof Lizard</v>
      </c>
      <c r="H15" s="62"/>
      <c r="I15" s="62"/>
      <c r="J15" s="63"/>
      <c r="K15" s="62" t="str">
        <f>IFERROR(__xludf.DUMMYFUNCTION("iferror(SPLIT(Tracker!P16,CHAR(10)),"""")"),"5 Blue Moblin Horn")</f>
        <v>5 Blue Moblin Horn</v>
      </c>
      <c r="L15" s="62" t="str">
        <f>IFERROR(__xludf.DUMMYFUNCTION("""COMPUTED_VALUE"""),"3 Smotherwing Butterfly")</f>
        <v>3 Smotherwing Butterfly</v>
      </c>
      <c r="M15" s="62" t="str">
        <f>IFERROR(__xludf.DUMMYFUNCTION("""COMPUTED_VALUE"""),"15 Flint")</f>
        <v>15 Flint</v>
      </c>
      <c r="N15" s="62"/>
      <c r="O15" s="63"/>
      <c r="P15" s="62" t="str">
        <f>IFERROR(__xludf.DUMMYFUNCTION("iferror(SPLIT(Tracker!R16,CHAR(10)),"""")"),"5 Black Moblin Horn")</f>
        <v>5 Black Moblin Horn</v>
      </c>
      <c r="Q15" s="62" t="str">
        <f>IFERROR(__xludf.DUMMYFUNCTION("""COMPUTED_VALUE"""),"5 Smotherwing Butterfly")</f>
        <v>5 Smotherwing Butterfly</v>
      </c>
      <c r="R15" s="62" t="str">
        <f>IFERROR(__xludf.DUMMYFUNCTION("""COMPUTED_VALUE"""),"30 Flint")</f>
        <v>30 Flint</v>
      </c>
      <c r="S15" s="62"/>
      <c r="T15" s="63"/>
      <c r="U15" s="62" t="str">
        <f>IFERROR(__xludf.DUMMYFUNCTION("""COMPUTED_VALUE"""),"3 Bokoblin Fang")</f>
        <v>3 Bokoblin Fang</v>
      </c>
      <c r="V15" s="62">
        <f>IFERROR(__xludf.DUMMYFUNCTION("SPLIT(U15,"" "")"),3.0)</f>
        <v>3</v>
      </c>
      <c r="W15" s="62" t="str">
        <f>IFERROR(__xludf.DUMMYFUNCTION("""COMPUTED_VALUE"""),"Bokoblin")</f>
        <v>Bokoblin</v>
      </c>
      <c r="X15" s="62" t="str">
        <f>IFERROR(__xludf.DUMMYFUNCTION("""COMPUTED_VALUE"""),"Fang")</f>
        <v>Fang</v>
      </c>
      <c r="Y15" s="62"/>
      <c r="Z15" s="62"/>
      <c r="AA15" s="62"/>
      <c r="AB15" s="63"/>
      <c r="AC15" s="62" t="str">
        <f t="shared" si="2"/>
        <v>Bokoblin Fang</v>
      </c>
    </row>
    <row r="16">
      <c r="A16" s="62" t="str">
        <f>IFERROR(__xludf.DUMMYFUNCTION("iferror(SPLIT(Tracker!L17,CHAR(10)),"""")"),"3 Moblin Horn")</f>
        <v>3 Moblin Horn</v>
      </c>
      <c r="B16" s="62"/>
      <c r="C16" s="62"/>
      <c r="D16" s="62"/>
      <c r="E16" s="63"/>
      <c r="F16" s="62" t="str">
        <f>IFERROR(__xludf.DUMMYFUNCTION("iferror(SPLIT(Tracker!N17,CHAR(10)),"""")"),"5 Moblin Fang")</f>
        <v>5 Moblin Fang</v>
      </c>
      <c r="G16" s="62" t="str">
        <f>IFERROR(__xludf.DUMMYFUNCTION("""COMPUTED_VALUE"""),"5 Fireproof Lizard")</f>
        <v>5 Fireproof Lizard</v>
      </c>
      <c r="H16" s="62"/>
      <c r="I16" s="62"/>
      <c r="J16" s="63"/>
      <c r="K16" s="62" t="str">
        <f>IFERROR(__xludf.DUMMYFUNCTION("iferror(SPLIT(Tracker!P17,CHAR(10)),"""")"),"5 Blue Moblin Horn")</f>
        <v>5 Blue Moblin Horn</v>
      </c>
      <c r="L16" s="62" t="str">
        <f>IFERROR(__xludf.DUMMYFUNCTION("""COMPUTED_VALUE"""),"3 Smotherwing Butterfly")</f>
        <v>3 Smotherwing Butterfly</v>
      </c>
      <c r="M16" s="62" t="str">
        <f>IFERROR(__xludf.DUMMYFUNCTION("""COMPUTED_VALUE"""),"15 Flint")</f>
        <v>15 Flint</v>
      </c>
      <c r="N16" s="62"/>
      <c r="O16" s="63"/>
      <c r="P16" s="62" t="str">
        <f>IFERROR(__xludf.DUMMYFUNCTION("iferror(SPLIT(Tracker!R17,CHAR(10)),"""")"),"5 Black Moblin Horn")</f>
        <v>5 Black Moblin Horn</v>
      </c>
      <c r="Q16" s="62" t="str">
        <f>IFERROR(__xludf.DUMMYFUNCTION("""COMPUTED_VALUE"""),"5 Smotherwing Butterfly")</f>
        <v>5 Smotherwing Butterfly</v>
      </c>
      <c r="R16" s="62" t="str">
        <f>IFERROR(__xludf.DUMMYFUNCTION("""COMPUTED_VALUE"""),"30 Flint")</f>
        <v>30 Flint</v>
      </c>
      <c r="S16" s="62"/>
      <c r="T16" s="63"/>
      <c r="U16" s="62" t="str">
        <f>IFERROR(__xludf.DUMMYFUNCTION("""COMPUTED_VALUE"""),"5 Black Bokoblin Horn")</f>
        <v>5 Black Bokoblin Horn</v>
      </c>
      <c r="V16" s="62">
        <f>IFERROR(__xludf.DUMMYFUNCTION("SPLIT(U16,"" "")"),5.0)</f>
        <v>5</v>
      </c>
      <c r="W16" s="62" t="str">
        <f>IFERROR(__xludf.DUMMYFUNCTION("""COMPUTED_VALUE"""),"Black")</f>
        <v>Black</v>
      </c>
      <c r="X16" s="62" t="str">
        <f>IFERROR(__xludf.DUMMYFUNCTION("""COMPUTED_VALUE"""),"Bokoblin")</f>
        <v>Bokoblin</v>
      </c>
      <c r="Y16" s="62" t="str">
        <f>IFERROR(__xludf.DUMMYFUNCTION("""COMPUTED_VALUE"""),"Horn")</f>
        <v>Horn</v>
      </c>
      <c r="Z16" s="62"/>
      <c r="AA16" s="62"/>
      <c r="AB16" s="63"/>
      <c r="AC16" s="62" t="str">
        <f t="shared" si="2"/>
        <v>Black Bokoblin Horn</v>
      </c>
    </row>
    <row r="17">
      <c r="A17" s="62" t="str">
        <f>IFERROR(__xludf.DUMMYFUNCTION("iferror(SPLIT(Tracker!L18,CHAR(10)),"""")"),"3 Lizalfos Horn")</f>
        <v>3 Lizalfos Horn</v>
      </c>
      <c r="B17" s="62"/>
      <c r="C17" s="62"/>
      <c r="D17" s="62"/>
      <c r="E17" s="63"/>
      <c r="F17" s="62" t="str">
        <f>IFERROR(__xludf.DUMMYFUNCTION("iferror(SPLIT(Tracker!N18,CHAR(10)),"""")"),"5 Lizalfos Talon")</f>
        <v>5 Lizalfos Talon</v>
      </c>
      <c r="G17" s="62" t="str">
        <f>IFERROR(__xludf.DUMMYFUNCTION("""COMPUTED_VALUE"""),"5 Hyrule Bass")</f>
        <v>5 Hyrule Bass</v>
      </c>
      <c r="H17" s="62"/>
      <c r="I17" s="62"/>
      <c r="J17" s="63"/>
      <c r="K17" s="62" t="str">
        <f>IFERROR(__xludf.DUMMYFUNCTION("iferror(SPLIT(Tracker!P18,CHAR(10)),"""")"),"5 Blue Lizalfos Horn")</f>
        <v>5 Blue Lizalfos Horn</v>
      </c>
      <c r="L17" s="62" t="str">
        <f>IFERROR(__xludf.DUMMYFUNCTION("""COMPUTED_VALUE"""),"3 Lizalfos Tail")</f>
        <v>3 Lizalfos Tail</v>
      </c>
      <c r="M17" s="62" t="str">
        <f>IFERROR(__xludf.DUMMYFUNCTION("""COMPUTED_VALUE"""),"3 Hearty Bass")</f>
        <v>3 Hearty Bass</v>
      </c>
      <c r="N17" s="62"/>
      <c r="O17" s="63"/>
      <c r="P17" s="62" t="str">
        <f>IFERROR(__xludf.DUMMYFUNCTION("iferror(SPLIT(Tracker!R18,CHAR(10)),"""")"),"5 Black Lizalfos Horn")</f>
        <v>5 Black Lizalfos Horn</v>
      </c>
      <c r="Q17" s="62" t="str">
        <f>IFERROR(__xludf.DUMMYFUNCTION("""COMPUTED_VALUE"""),"5 Blue Lizalfos Tail")</f>
        <v>5 Blue Lizalfos Tail</v>
      </c>
      <c r="R17" s="62" t="str">
        <f>IFERROR(__xludf.DUMMYFUNCTION("""COMPUTED_VALUE"""),"20 Opal")</f>
        <v>20 Opal</v>
      </c>
      <c r="S17" s="62"/>
      <c r="T17" s="63"/>
      <c r="U17" s="62" t="str">
        <f>IFERROR(__xludf.DUMMYFUNCTION("""COMPUTED_VALUE"""),"3 Bokoblin Guts")</f>
        <v>3 Bokoblin Guts</v>
      </c>
      <c r="V17" s="62">
        <f>IFERROR(__xludf.DUMMYFUNCTION("SPLIT(U17,"" "")"),3.0)</f>
        <v>3</v>
      </c>
      <c r="W17" s="62" t="str">
        <f>IFERROR(__xludf.DUMMYFUNCTION("""COMPUTED_VALUE"""),"Bokoblin")</f>
        <v>Bokoblin</v>
      </c>
      <c r="X17" s="62" t="str">
        <f>IFERROR(__xludf.DUMMYFUNCTION("""COMPUTED_VALUE"""),"Guts")</f>
        <v>Guts</v>
      </c>
      <c r="Y17" s="62"/>
      <c r="Z17" s="62"/>
      <c r="AA17" s="62"/>
      <c r="AB17" s="63"/>
      <c r="AC17" s="62" t="str">
        <f t="shared" si="2"/>
        <v>Bokoblin Guts</v>
      </c>
    </row>
    <row r="18">
      <c r="A18" s="62" t="str">
        <f>IFERROR(__xludf.DUMMYFUNCTION("iferror(SPLIT(Tracker!L19,CHAR(10)),"""")"),"3 Lizalfos Horn")</f>
        <v>3 Lizalfos Horn</v>
      </c>
      <c r="B18" s="62"/>
      <c r="C18" s="62"/>
      <c r="D18" s="62"/>
      <c r="E18" s="63"/>
      <c r="F18" s="62" t="str">
        <f>IFERROR(__xludf.DUMMYFUNCTION("iferror(SPLIT(Tracker!N19,CHAR(10)),"""")"),"5 Lizalfos Talon")</f>
        <v>5 Lizalfos Talon</v>
      </c>
      <c r="G18" s="62" t="str">
        <f>IFERROR(__xludf.DUMMYFUNCTION("""COMPUTED_VALUE"""),"5 Hyrule Bass")</f>
        <v>5 Hyrule Bass</v>
      </c>
      <c r="H18" s="62"/>
      <c r="I18" s="62"/>
      <c r="J18" s="63"/>
      <c r="K18" s="62" t="str">
        <f>IFERROR(__xludf.DUMMYFUNCTION("iferror(SPLIT(Tracker!P19,CHAR(10)),"""")"),"5 Blue Lizalfos Horn")</f>
        <v>5 Blue Lizalfos Horn</v>
      </c>
      <c r="L18" s="62" t="str">
        <f>IFERROR(__xludf.DUMMYFUNCTION("""COMPUTED_VALUE"""),"3 Lizalfos Tail")</f>
        <v>3 Lizalfos Tail</v>
      </c>
      <c r="M18" s="62" t="str">
        <f>IFERROR(__xludf.DUMMYFUNCTION("""COMPUTED_VALUE"""),"3 Hearty Bass")</f>
        <v>3 Hearty Bass</v>
      </c>
      <c r="N18" s="62"/>
      <c r="O18" s="63"/>
      <c r="P18" s="62" t="str">
        <f>IFERROR(__xludf.DUMMYFUNCTION("iferror(SPLIT(Tracker!R19,CHAR(10)),"""")"),"5 Black Lizalfos Horn")</f>
        <v>5 Black Lizalfos Horn</v>
      </c>
      <c r="Q18" s="62" t="str">
        <f>IFERROR(__xludf.DUMMYFUNCTION("""COMPUTED_VALUE"""),"5 Blue Lizalfos Tail")</f>
        <v>5 Blue Lizalfos Tail</v>
      </c>
      <c r="R18" s="62" t="str">
        <f>IFERROR(__xludf.DUMMYFUNCTION("""COMPUTED_VALUE"""),"20 Opal")</f>
        <v>20 Opal</v>
      </c>
      <c r="S18" s="62"/>
      <c r="T18" s="63"/>
      <c r="U18" s="62" t="str">
        <f>IFERROR(__xludf.DUMMYFUNCTION("""COMPUTED_VALUE"""),"20 Amber")</f>
        <v>20 Amber</v>
      </c>
      <c r="V18" s="62">
        <f>IFERROR(__xludf.DUMMYFUNCTION("SPLIT(U18,"" "")"),20.0)</f>
        <v>20</v>
      </c>
      <c r="W18" s="62" t="str">
        <f>IFERROR(__xludf.DUMMYFUNCTION("""COMPUTED_VALUE"""),"Amber")</f>
        <v>Amber</v>
      </c>
      <c r="X18" s="62"/>
      <c r="Y18" s="62"/>
      <c r="Z18" s="62"/>
      <c r="AA18" s="62"/>
      <c r="AB18" s="63"/>
      <c r="AC18" s="62" t="str">
        <f t="shared" si="2"/>
        <v>Amber</v>
      </c>
    </row>
    <row r="19">
      <c r="A19" s="62" t="str">
        <f>IFERROR(__xludf.DUMMYFUNCTION("iferror(SPLIT(Tracker!L20,CHAR(10)),"""")"),"3 Lizalfos Horn")</f>
        <v>3 Lizalfos Horn</v>
      </c>
      <c r="B19" s="62"/>
      <c r="C19" s="62"/>
      <c r="D19" s="62"/>
      <c r="E19" s="63"/>
      <c r="F19" s="62" t="str">
        <f>IFERROR(__xludf.DUMMYFUNCTION("iferror(SPLIT(Tracker!N20,CHAR(10)),"""")"),"5 Lizalfos Talon")</f>
        <v>5 Lizalfos Talon</v>
      </c>
      <c r="G19" s="62" t="str">
        <f>IFERROR(__xludf.DUMMYFUNCTION("""COMPUTED_VALUE"""),"5 Hyrule Bass")</f>
        <v>5 Hyrule Bass</v>
      </c>
      <c r="H19" s="62"/>
      <c r="I19" s="62"/>
      <c r="J19" s="63"/>
      <c r="K19" s="62" t="str">
        <f>IFERROR(__xludf.DUMMYFUNCTION("iferror(SPLIT(Tracker!P20,CHAR(10)),"""")"),"5 Blue Lizalfos Horn")</f>
        <v>5 Blue Lizalfos Horn</v>
      </c>
      <c r="L19" s="62" t="str">
        <f>IFERROR(__xludf.DUMMYFUNCTION("""COMPUTED_VALUE"""),"3 Lizalfos Tail")</f>
        <v>3 Lizalfos Tail</v>
      </c>
      <c r="M19" s="62" t="str">
        <f>IFERROR(__xludf.DUMMYFUNCTION("""COMPUTED_VALUE"""),"3 Hearty Bass")</f>
        <v>3 Hearty Bass</v>
      </c>
      <c r="N19" s="62"/>
      <c r="O19" s="63"/>
      <c r="P19" s="62" t="str">
        <f>IFERROR(__xludf.DUMMYFUNCTION("iferror(SPLIT(Tracker!R20,CHAR(10)),"""")"),"5 Black Lizalfos Horn")</f>
        <v>5 Black Lizalfos Horn</v>
      </c>
      <c r="Q19" s="62" t="str">
        <f>IFERROR(__xludf.DUMMYFUNCTION("""COMPUTED_VALUE"""),"5 Blue Lizalfos Tail")</f>
        <v>5 Blue Lizalfos Tail</v>
      </c>
      <c r="R19" s="62" t="str">
        <f>IFERROR(__xludf.DUMMYFUNCTION("""COMPUTED_VALUE"""),"20 Opal")</f>
        <v>20 Opal</v>
      </c>
      <c r="S19" s="62"/>
      <c r="T19" s="63"/>
      <c r="U19" s="62" t="str">
        <f>IFERROR(__xludf.DUMMYFUNCTION("""COMPUTED_VALUE"""),"5 Silver Bokoblin Horn")</f>
        <v>5 Silver Bokoblin Horn</v>
      </c>
      <c r="V19" s="62">
        <f>IFERROR(__xludf.DUMMYFUNCTION("SPLIT(U19,"" "")"),5.0)</f>
        <v>5</v>
      </c>
      <c r="W19" s="62" t="str">
        <f>IFERROR(__xludf.DUMMYFUNCTION("""COMPUTED_VALUE"""),"Silver")</f>
        <v>Silver</v>
      </c>
      <c r="X19" s="62" t="str">
        <f>IFERROR(__xludf.DUMMYFUNCTION("""COMPUTED_VALUE"""),"Bokoblin")</f>
        <v>Bokoblin</v>
      </c>
      <c r="Y19" s="62" t="str">
        <f>IFERROR(__xludf.DUMMYFUNCTION("""COMPUTED_VALUE"""),"Horn")</f>
        <v>Horn</v>
      </c>
      <c r="Z19" s="62"/>
      <c r="AA19" s="62"/>
      <c r="AB19" s="63"/>
      <c r="AC19" s="62" t="str">
        <f t="shared" si="2"/>
        <v>Silver Bokoblin Horn</v>
      </c>
    </row>
    <row r="20">
      <c r="A20" s="62" t="str">
        <f>IFERROR(__xludf.DUMMYFUNCTION("iferror(SPLIT(Tracker!L21,CHAR(10)),"""")"),"3 White Chuchu Jelly")</f>
        <v>3 White Chuchu Jelly</v>
      </c>
      <c r="B20" s="62"/>
      <c r="C20" s="62"/>
      <c r="D20" s="62"/>
      <c r="E20" s="63"/>
      <c r="F20" s="62" t="str">
        <f>IFERROR(__xludf.DUMMYFUNCTION("iferror(SPLIT(Tracker!N21,CHAR(10)),"""")"),"5 White Chuchu Jelly")</f>
        <v>5 White Chuchu Jelly</v>
      </c>
      <c r="G20" s="62" t="str">
        <f>IFERROR(__xludf.DUMMYFUNCTION("""COMPUTED_VALUE"""),"3 Cool Safflina")</f>
        <v>3 Cool Safflina</v>
      </c>
      <c r="H20" s="62"/>
      <c r="I20" s="62"/>
      <c r="J20" s="63"/>
      <c r="K20" s="62" t="str">
        <f>IFERROR(__xludf.DUMMYFUNCTION("iferror(SPLIT(Tracker!P21,CHAR(10)),"""")"),"5 Ice Keese Wing")</f>
        <v>5 Ice Keese Wing</v>
      </c>
      <c r="L20" s="62" t="str">
        <f>IFERROR(__xludf.DUMMYFUNCTION("""COMPUTED_VALUE"""),"3 Ice-Breath Lizalfos Tail")</f>
        <v>3 Ice-Breath Lizalfos Tail</v>
      </c>
      <c r="M20" s="62" t="str">
        <f>IFERROR(__xludf.DUMMYFUNCTION("""COMPUTED_VALUE"""),"5 Chillshroom")</f>
        <v>5 Chillshroom</v>
      </c>
      <c r="N20" s="62"/>
      <c r="O20" s="63"/>
      <c r="P20" s="62" t="str">
        <f>IFERROR(__xludf.DUMMYFUNCTION("iferror(SPLIT(Tracker!R21,CHAR(10)),"""")"),"5 Ice-Breath Lizalfos Horn")</f>
        <v>5 Ice-Breath Lizalfos Horn</v>
      </c>
      <c r="Q20" s="62" t="str">
        <f>IFERROR(__xludf.DUMMYFUNCTION("""COMPUTED_VALUE"""),"10 Ice-Breath Lizalfos Tail")</f>
        <v>10 Ice-Breath Lizalfos Tail</v>
      </c>
      <c r="R20" s="62" t="str">
        <f>IFERROR(__xludf.DUMMYFUNCTION("""COMPUTED_VALUE"""),"5 Sapphire")</f>
        <v>5 Sapphire</v>
      </c>
      <c r="S20" s="62"/>
      <c r="T20" s="63"/>
      <c r="U20" s="62" t="str">
        <f>IFERROR(__xludf.DUMMYFUNCTION("""COMPUTED_VALUE"""),"5 Bokoblin Guts")</f>
        <v>5 Bokoblin Guts</v>
      </c>
      <c r="V20" s="62">
        <f>IFERROR(__xludf.DUMMYFUNCTION("SPLIT(U20,"" "")"),5.0)</f>
        <v>5</v>
      </c>
      <c r="W20" s="62" t="str">
        <f>IFERROR(__xludf.DUMMYFUNCTION("""COMPUTED_VALUE"""),"Bokoblin")</f>
        <v>Bokoblin</v>
      </c>
      <c r="X20" s="62" t="str">
        <f>IFERROR(__xludf.DUMMYFUNCTION("""COMPUTED_VALUE"""),"Guts")</f>
        <v>Guts</v>
      </c>
      <c r="Y20" s="62"/>
      <c r="Z20" s="62"/>
      <c r="AA20" s="62"/>
      <c r="AB20" s="63"/>
      <c r="AC20" s="62" t="str">
        <f t="shared" si="2"/>
        <v>Bokoblin Guts</v>
      </c>
    </row>
    <row r="21">
      <c r="A21" s="62" t="str">
        <f>IFERROR(__xludf.DUMMYFUNCTION("iferror(SPLIT(Tracker!L22,CHAR(10)),"""")"),"3 White Chuchu Jelly")</f>
        <v>3 White Chuchu Jelly</v>
      </c>
      <c r="B21" s="62"/>
      <c r="C21" s="62"/>
      <c r="D21" s="62"/>
      <c r="E21" s="63"/>
      <c r="F21" s="62" t="str">
        <f>IFERROR(__xludf.DUMMYFUNCTION("iferror(SPLIT(Tracker!N22,CHAR(10)),"""")"),"5 White Chuchu Jelly")</f>
        <v>5 White Chuchu Jelly</v>
      </c>
      <c r="G21" s="62" t="str">
        <f>IFERROR(__xludf.DUMMYFUNCTION("""COMPUTED_VALUE"""),"3 Cool Safflina")</f>
        <v>3 Cool Safflina</v>
      </c>
      <c r="H21" s="62"/>
      <c r="I21" s="62"/>
      <c r="J21" s="63"/>
      <c r="K21" s="62" t="str">
        <f>IFERROR(__xludf.DUMMYFUNCTION("iferror(SPLIT(Tracker!P22,CHAR(10)),"""")"),"5 Ice Keese Wing")</f>
        <v>5 Ice Keese Wing</v>
      </c>
      <c r="L21" s="62" t="str">
        <f>IFERROR(__xludf.DUMMYFUNCTION("""COMPUTED_VALUE"""),"3 Ice-Breath Lizalfos Tail")</f>
        <v>3 Ice-Breath Lizalfos Tail</v>
      </c>
      <c r="M21" s="62" t="str">
        <f>IFERROR(__xludf.DUMMYFUNCTION("""COMPUTED_VALUE"""),"5 Chillshroom")</f>
        <v>5 Chillshroom</v>
      </c>
      <c r="N21" s="62"/>
      <c r="O21" s="63"/>
      <c r="P21" s="62" t="str">
        <f>IFERROR(__xludf.DUMMYFUNCTION("iferror(SPLIT(Tracker!R22,CHAR(10)),"""")"),"5 Ice-Breath Lizalfos Horn")</f>
        <v>5 Ice-Breath Lizalfos Horn</v>
      </c>
      <c r="Q21" s="62" t="str">
        <f>IFERROR(__xludf.DUMMYFUNCTION("""COMPUTED_VALUE"""),"10 Ice-Breath Lizalfos Tail")</f>
        <v>10 Ice-Breath Lizalfos Tail</v>
      </c>
      <c r="R21" s="62" t="str">
        <f>IFERROR(__xludf.DUMMYFUNCTION("""COMPUTED_VALUE"""),"5 Sapphire")</f>
        <v>5 Sapphire</v>
      </c>
      <c r="S21" s="62"/>
      <c r="T21" s="63"/>
      <c r="U21" s="62" t="str">
        <f>IFERROR(__xludf.DUMMYFUNCTION("""COMPUTED_VALUE"""),"30 Amber")</f>
        <v>30 Amber</v>
      </c>
      <c r="V21" s="62">
        <f>IFERROR(__xludf.DUMMYFUNCTION("SPLIT(U21,"" "")"),30.0)</f>
        <v>30</v>
      </c>
      <c r="W21" s="62" t="str">
        <f>IFERROR(__xludf.DUMMYFUNCTION("""COMPUTED_VALUE"""),"Amber")</f>
        <v>Amber</v>
      </c>
      <c r="X21" s="62"/>
      <c r="Y21" s="62"/>
      <c r="Z21" s="62"/>
      <c r="AA21" s="62"/>
      <c r="AB21" s="63"/>
      <c r="AC21" s="62" t="str">
        <f t="shared" si="2"/>
        <v>Amber</v>
      </c>
    </row>
    <row r="22">
      <c r="A22" s="62" t="str">
        <f>IFERROR(__xludf.DUMMYFUNCTION("iferror(SPLIT(Tracker!L23,CHAR(10)),"""")"),"3 White Chuchu Jelly")</f>
        <v>3 White Chuchu Jelly</v>
      </c>
      <c r="B22" s="62"/>
      <c r="C22" s="62"/>
      <c r="D22" s="62"/>
      <c r="E22" s="63"/>
      <c r="F22" s="62" t="str">
        <f>IFERROR(__xludf.DUMMYFUNCTION("iferror(SPLIT(Tracker!N23,CHAR(10)),"""")"),"5 White Chuchu Jelly")</f>
        <v>5 White Chuchu Jelly</v>
      </c>
      <c r="G22" s="62" t="str">
        <f>IFERROR(__xludf.DUMMYFUNCTION("""COMPUTED_VALUE"""),"3 Cool Safflina")</f>
        <v>3 Cool Safflina</v>
      </c>
      <c r="H22" s="62"/>
      <c r="I22" s="62"/>
      <c r="J22" s="63"/>
      <c r="K22" s="62" t="str">
        <f>IFERROR(__xludf.DUMMYFUNCTION("iferror(SPLIT(Tracker!P23,CHAR(10)),"""")"),"5 Ice Keese Wing")</f>
        <v>5 Ice Keese Wing</v>
      </c>
      <c r="L22" s="62" t="str">
        <f>IFERROR(__xludf.DUMMYFUNCTION("""COMPUTED_VALUE"""),"3 Ice-Breath Lizalfos Tail")</f>
        <v>3 Ice-Breath Lizalfos Tail</v>
      </c>
      <c r="M22" s="62" t="str">
        <f>IFERROR(__xludf.DUMMYFUNCTION("""COMPUTED_VALUE"""),"5 Chillshroom")</f>
        <v>5 Chillshroom</v>
      </c>
      <c r="N22" s="62"/>
      <c r="O22" s="63"/>
      <c r="P22" s="62" t="str">
        <f>IFERROR(__xludf.DUMMYFUNCTION("iferror(SPLIT(Tracker!R23,CHAR(10)),"""")"),"5 Ice-Breath Lizalfos Horn")</f>
        <v>5 Ice-Breath Lizalfos Horn</v>
      </c>
      <c r="Q22" s="62" t="str">
        <f>IFERROR(__xludf.DUMMYFUNCTION("""COMPUTED_VALUE"""),"10 Ice-Breath Lizalfos Tail")</f>
        <v>10 Ice-Breath Lizalfos Tail</v>
      </c>
      <c r="R22" s="62" t="str">
        <f>IFERROR(__xludf.DUMMYFUNCTION("""COMPUTED_VALUE"""),"5 Sapphire")</f>
        <v>5 Sapphire</v>
      </c>
      <c r="S22" s="62"/>
      <c r="T22" s="63"/>
      <c r="U22" s="62" t="str">
        <f>IFERROR(__xludf.DUMMYFUNCTION("""COMPUTED_VALUE"""),"5 Bokoblin Horn")</f>
        <v>5 Bokoblin Horn</v>
      </c>
      <c r="V22" s="62">
        <f>IFERROR(__xludf.DUMMYFUNCTION("SPLIT(U22,"" "")"),5.0)</f>
        <v>5</v>
      </c>
      <c r="W22" s="62" t="str">
        <f>IFERROR(__xludf.DUMMYFUNCTION("""COMPUTED_VALUE"""),"Bokoblin")</f>
        <v>Bokoblin</v>
      </c>
      <c r="X22" s="62" t="str">
        <f>IFERROR(__xludf.DUMMYFUNCTION("""COMPUTED_VALUE"""),"Horn")</f>
        <v>Horn</v>
      </c>
      <c r="Y22" s="62"/>
      <c r="Z22" s="62"/>
      <c r="AA22" s="62"/>
      <c r="AB22" s="63"/>
      <c r="AC22" s="62" t="str">
        <f t="shared" si="2"/>
        <v>Bokoblin Horn</v>
      </c>
    </row>
    <row r="23">
      <c r="A23" s="62" t="str">
        <f>IFERROR(__xludf.DUMMYFUNCTION("iferror(SPLIT(Tracker!L24,CHAR(10)),"""")"),"1 Electric Lizalfos Horn")</f>
        <v>1 Electric Lizalfos Horn</v>
      </c>
      <c r="B23" s="62" t="str">
        <f>IFERROR(__xludf.DUMMYFUNCTION("""COMPUTED_VALUE"""),"3 Yellow Chuchu Jelly")</f>
        <v>3 Yellow Chuchu Jelly</v>
      </c>
      <c r="C23" s="62"/>
      <c r="D23" s="62"/>
      <c r="E23" s="63"/>
      <c r="F23" s="62" t="str">
        <f>IFERROR(__xludf.DUMMYFUNCTION("iferror(SPLIT(Tracker!N24,CHAR(10)),"""")"),"8 Yellow Chuchu Jelly")</f>
        <v>8 Yellow Chuchu Jelly</v>
      </c>
      <c r="G23" s="62" t="str">
        <f>IFERROR(__xludf.DUMMYFUNCTION("""COMPUTED_VALUE"""),"5 Voltfruit")</f>
        <v>5 Voltfruit</v>
      </c>
      <c r="H23" s="62"/>
      <c r="I23" s="62"/>
      <c r="J23" s="63"/>
      <c r="K23" s="62" t="str">
        <f>IFERROR(__xludf.DUMMYFUNCTION("iferror(SPLIT(Tracker!P24,CHAR(10)),"""")"),"5 Zapshroom")</f>
        <v>5 Zapshroom</v>
      </c>
      <c r="L23" s="62" t="str">
        <f>IFERROR(__xludf.DUMMYFUNCTION("""COMPUTED_VALUE"""),"5 Electric Lizalfos Tail")</f>
        <v>5 Electric Lizalfos Tail</v>
      </c>
      <c r="M23" s="62" t="str">
        <f>IFERROR(__xludf.DUMMYFUNCTION("""COMPUTED_VALUE"""),"8 Electric Safflina")</f>
        <v>8 Electric Safflina</v>
      </c>
      <c r="N23" s="62"/>
      <c r="O23" s="63"/>
      <c r="P23" s="62" t="str">
        <f>IFERROR(__xludf.DUMMYFUNCTION("iferror(SPLIT(Tracker!R24,CHAR(10)),"""")"),"5 Electric Lizalfos Horn")</f>
        <v>5 Electric Lizalfos Horn</v>
      </c>
      <c r="Q23" s="62" t="str">
        <f>IFERROR(__xludf.DUMMYFUNCTION("""COMPUTED_VALUE"""),"5 Topaz")</f>
        <v>5 Topaz</v>
      </c>
      <c r="R23" s="62" t="str">
        <f>IFERROR(__xludf.DUMMYFUNCTION("""COMPUTED_VALUE"""),"8 Electric Lizalfos Tail")</f>
        <v>8 Electric Lizalfos Tail</v>
      </c>
      <c r="S23" s="62"/>
      <c r="T23" s="63"/>
      <c r="U23" s="62" t="str">
        <f>IFERROR(__xludf.DUMMYFUNCTION("""COMPUTED_VALUE"""),"5 Blue Bokoblin Horn")</f>
        <v>5 Blue Bokoblin Horn</v>
      </c>
      <c r="V23" s="62">
        <f>IFERROR(__xludf.DUMMYFUNCTION("SPLIT(U23,"" "")"),5.0)</f>
        <v>5</v>
      </c>
      <c r="W23" s="62" t="str">
        <f>IFERROR(__xludf.DUMMYFUNCTION("""COMPUTED_VALUE"""),"Blue")</f>
        <v>Blue</v>
      </c>
      <c r="X23" s="62" t="str">
        <f>IFERROR(__xludf.DUMMYFUNCTION("""COMPUTED_VALUE"""),"Bokoblin")</f>
        <v>Bokoblin</v>
      </c>
      <c r="Y23" s="62" t="str">
        <f>IFERROR(__xludf.DUMMYFUNCTION("""COMPUTED_VALUE"""),"Horn")</f>
        <v>Horn</v>
      </c>
      <c r="Z23" s="62"/>
      <c r="AA23" s="62"/>
      <c r="AB23" s="63"/>
      <c r="AC23" s="62" t="str">
        <f t="shared" si="2"/>
        <v>Blue Bokoblin Horn</v>
      </c>
    </row>
    <row r="24">
      <c r="A24" s="62" t="str">
        <f>IFERROR(__xludf.DUMMYFUNCTION("iferror(SPLIT(Tracker!L25,CHAR(10)),"""")"),"1 Electric Lizalfos Horn")</f>
        <v>1 Electric Lizalfos Horn</v>
      </c>
      <c r="B24" s="62" t="str">
        <f>IFERROR(__xludf.DUMMYFUNCTION("""COMPUTED_VALUE"""),"3 Yellow Chuchu Jelly")</f>
        <v>3 Yellow Chuchu Jelly</v>
      </c>
      <c r="C24" s="62"/>
      <c r="D24" s="62"/>
      <c r="E24" s="63"/>
      <c r="F24" s="62" t="str">
        <f>IFERROR(__xludf.DUMMYFUNCTION("iferror(SPLIT(Tracker!N25,CHAR(10)),"""")"),"8 Yellow Chuchu Jelly")</f>
        <v>8 Yellow Chuchu Jelly</v>
      </c>
      <c r="G24" s="62" t="str">
        <f>IFERROR(__xludf.DUMMYFUNCTION("""COMPUTED_VALUE"""),"5 Voltfruit")</f>
        <v>5 Voltfruit</v>
      </c>
      <c r="H24" s="62"/>
      <c r="I24" s="62"/>
      <c r="J24" s="63"/>
      <c r="K24" s="62" t="str">
        <f>IFERROR(__xludf.DUMMYFUNCTION("iferror(SPLIT(Tracker!P25,CHAR(10)),"""")"),"5 Zapshroom")</f>
        <v>5 Zapshroom</v>
      </c>
      <c r="L24" s="62" t="str">
        <f>IFERROR(__xludf.DUMMYFUNCTION("""COMPUTED_VALUE"""),"5 Electric Lizalfos Tail")</f>
        <v>5 Electric Lizalfos Tail</v>
      </c>
      <c r="M24" s="62" t="str">
        <f>IFERROR(__xludf.DUMMYFUNCTION("""COMPUTED_VALUE"""),"8 Electric Safflina")</f>
        <v>8 Electric Safflina</v>
      </c>
      <c r="N24" s="62"/>
      <c r="O24" s="63"/>
      <c r="P24" s="62" t="str">
        <f>IFERROR(__xludf.DUMMYFUNCTION("iferror(SPLIT(Tracker!R25,CHAR(10)),"""")"),"5 Electric Lizalfos Horn")</f>
        <v>5 Electric Lizalfos Horn</v>
      </c>
      <c r="Q24" s="62" t="str">
        <f>IFERROR(__xludf.DUMMYFUNCTION("""COMPUTED_VALUE"""),"5 Topaz")</f>
        <v>5 Topaz</v>
      </c>
      <c r="R24" s="62" t="str">
        <f>IFERROR(__xludf.DUMMYFUNCTION("""COMPUTED_VALUE"""),"8 Electric Lizalfos Tail")</f>
        <v>8 Electric Lizalfos Tail</v>
      </c>
      <c r="S24" s="62"/>
      <c r="T24" s="63"/>
      <c r="U24" s="62" t="str">
        <f>IFERROR(__xludf.DUMMYFUNCTION("""COMPUTED_VALUE"""),"3 Bokoblin Fang")</f>
        <v>3 Bokoblin Fang</v>
      </c>
      <c r="V24" s="62">
        <f>IFERROR(__xludf.DUMMYFUNCTION("SPLIT(U24,"" "")"),3.0)</f>
        <v>3</v>
      </c>
      <c r="W24" s="62" t="str">
        <f>IFERROR(__xludf.DUMMYFUNCTION("""COMPUTED_VALUE"""),"Bokoblin")</f>
        <v>Bokoblin</v>
      </c>
      <c r="X24" s="62" t="str">
        <f>IFERROR(__xludf.DUMMYFUNCTION("""COMPUTED_VALUE"""),"Fang")</f>
        <v>Fang</v>
      </c>
      <c r="Y24" s="62"/>
      <c r="Z24" s="62"/>
      <c r="AA24" s="62"/>
      <c r="AB24" s="63"/>
      <c r="AC24" s="62" t="str">
        <f t="shared" si="2"/>
        <v>Bokoblin Fang</v>
      </c>
    </row>
    <row r="25">
      <c r="A25" s="62" t="str">
        <f>IFERROR(__xludf.DUMMYFUNCTION("iferror(SPLIT(Tracker!L26,CHAR(10)),"""")"),"1 Electric Lizalfos Horn")</f>
        <v>1 Electric Lizalfos Horn</v>
      </c>
      <c r="B25" s="62" t="str">
        <f>IFERROR(__xludf.DUMMYFUNCTION("""COMPUTED_VALUE"""),"3 Yellow Chuchu Jelly")</f>
        <v>3 Yellow Chuchu Jelly</v>
      </c>
      <c r="C25" s="62"/>
      <c r="D25" s="62"/>
      <c r="E25" s="63"/>
      <c r="F25" s="62" t="str">
        <f>IFERROR(__xludf.DUMMYFUNCTION("iferror(SPLIT(Tracker!N26,CHAR(10)),"""")"),"8 Yellow Chuchu Jelly")</f>
        <v>8 Yellow Chuchu Jelly</v>
      </c>
      <c r="G25" s="62" t="str">
        <f>IFERROR(__xludf.DUMMYFUNCTION("""COMPUTED_VALUE"""),"5 Voltfruit")</f>
        <v>5 Voltfruit</v>
      </c>
      <c r="H25" s="62"/>
      <c r="I25" s="62"/>
      <c r="J25" s="63"/>
      <c r="K25" s="62" t="str">
        <f>IFERROR(__xludf.DUMMYFUNCTION("iferror(SPLIT(Tracker!P26,CHAR(10)),"""")"),"5 Zapshroom")</f>
        <v>5 Zapshroom</v>
      </c>
      <c r="L25" s="62" t="str">
        <f>IFERROR(__xludf.DUMMYFUNCTION("""COMPUTED_VALUE"""),"5 Electric Lizalfos Tail")</f>
        <v>5 Electric Lizalfos Tail</v>
      </c>
      <c r="M25" s="62" t="str">
        <f>IFERROR(__xludf.DUMMYFUNCTION("""COMPUTED_VALUE"""),"8 Electric Safflina")</f>
        <v>8 Electric Safflina</v>
      </c>
      <c r="N25" s="62"/>
      <c r="O25" s="63"/>
      <c r="P25" s="62" t="str">
        <f>IFERROR(__xludf.DUMMYFUNCTION("iferror(SPLIT(Tracker!R26,CHAR(10)),"""")"),"5 Electric Lizalfos Horn")</f>
        <v>5 Electric Lizalfos Horn</v>
      </c>
      <c r="Q25" s="62" t="str">
        <f>IFERROR(__xludf.DUMMYFUNCTION("""COMPUTED_VALUE"""),"5 Topaz")</f>
        <v>5 Topaz</v>
      </c>
      <c r="R25" s="62" t="str">
        <f>IFERROR(__xludf.DUMMYFUNCTION("""COMPUTED_VALUE"""),"8 Electric Lizalfos Tail")</f>
        <v>8 Electric Lizalfos Tail</v>
      </c>
      <c r="S25" s="62"/>
      <c r="T25" s="63"/>
      <c r="U25" s="62" t="str">
        <f>IFERROR(__xludf.DUMMYFUNCTION("""COMPUTED_VALUE"""),"5 Black Bokoblin Horn")</f>
        <v>5 Black Bokoblin Horn</v>
      </c>
      <c r="V25" s="62">
        <f>IFERROR(__xludf.DUMMYFUNCTION("SPLIT(U25,"" "")"),5.0)</f>
        <v>5</v>
      </c>
      <c r="W25" s="62" t="str">
        <f>IFERROR(__xludf.DUMMYFUNCTION("""COMPUTED_VALUE"""),"Black")</f>
        <v>Black</v>
      </c>
      <c r="X25" s="62" t="str">
        <f>IFERROR(__xludf.DUMMYFUNCTION("""COMPUTED_VALUE"""),"Bokoblin")</f>
        <v>Bokoblin</v>
      </c>
      <c r="Y25" s="62" t="str">
        <f>IFERROR(__xludf.DUMMYFUNCTION("""COMPUTED_VALUE"""),"Horn")</f>
        <v>Horn</v>
      </c>
      <c r="Z25" s="62"/>
      <c r="AA25" s="62"/>
      <c r="AB25" s="63"/>
      <c r="AC25" s="62" t="str">
        <f t="shared" si="2"/>
        <v>Black Bokoblin Horn</v>
      </c>
    </row>
    <row r="26">
      <c r="A26" s="62" t="str">
        <f>IFERROR(__xludf.DUMMYFUNCTION("iferror(SPLIT(Tracker!L27,CHAR(10)),"""")"),"3 Blue Nightshade")</f>
        <v>3 Blue Nightshade</v>
      </c>
      <c r="B26" s="62"/>
      <c r="C26" s="62"/>
      <c r="D26" s="62"/>
      <c r="E26" s="63"/>
      <c r="F26" s="62" t="str">
        <f>IFERROR(__xludf.DUMMYFUNCTION("iferror(SPLIT(Tracker!N27,CHAR(10)),"""")"),"5 Blue Nightshade")</f>
        <v>5 Blue Nightshade</v>
      </c>
      <c r="G26" s="62" t="str">
        <f>IFERROR(__xludf.DUMMYFUNCTION("""COMPUTED_VALUE"""),"5 Sunset Firefly")</f>
        <v>5 Sunset Firefly</v>
      </c>
      <c r="H26" s="62"/>
      <c r="I26" s="62"/>
      <c r="J26" s="63"/>
      <c r="K26" s="62" t="str">
        <f>IFERROR(__xludf.DUMMYFUNCTION("iferror(SPLIT(Tracker!P27,CHAR(10)),"""")"),"8 Silent Shroom")</f>
        <v>8 Silent Shroom</v>
      </c>
      <c r="L26" s="62" t="str">
        <f>IFERROR(__xludf.DUMMYFUNCTION("""COMPUTED_VALUE"""),"5 Sneaky River Snail")</f>
        <v>5 Sneaky River Snail</v>
      </c>
      <c r="M26" s="62" t="str">
        <f>IFERROR(__xludf.DUMMYFUNCTION("""COMPUTED_VALUE"""),"5 Sticky Frog")</f>
        <v>5 Sticky Frog</v>
      </c>
      <c r="N26" s="62"/>
      <c r="O26" s="63"/>
      <c r="P26" s="62" t="str">
        <f>IFERROR(__xludf.DUMMYFUNCTION("iferror(SPLIT(Tracker!R27,CHAR(10)),"""")"),"10 Stealthfin Trout")</f>
        <v>10 Stealthfin Trout</v>
      </c>
      <c r="Q26" s="62" t="str">
        <f>IFERROR(__xludf.DUMMYFUNCTION("""COMPUTED_VALUE"""),"5 Silent Princess")</f>
        <v>5 Silent Princess</v>
      </c>
      <c r="R26" s="62" t="str">
        <f>IFERROR(__xludf.DUMMYFUNCTION("""COMPUTED_VALUE"""),"10 Sundelion")</f>
        <v>10 Sundelion</v>
      </c>
      <c r="S26" s="62"/>
      <c r="T26" s="63"/>
      <c r="U26" s="62" t="str">
        <f>IFERROR(__xludf.DUMMYFUNCTION("""COMPUTED_VALUE"""),"3 Bokoblin Guts")</f>
        <v>3 Bokoblin Guts</v>
      </c>
      <c r="V26" s="62">
        <f>IFERROR(__xludf.DUMMYFUNCTION("SPLIT(U26,"" "")"),3.0)</f>
        <v>3</v>
      </c>
      <c r="W26" s="62" t="str">
        <f>IFERROR(__xludf.DUMMYFUNCTION("""COMPUTED_VALUE"""),"Bokoblin")</f>
        <v>Bokoblin</v>
      </c>
      <c r="X26" s="62" t="str">
        <f>IFERROR(__xludf.DUMMYFUNCTION("""COMPUTED_VALUE"""),"Guts")</f>
        <v>Guts</v>
      </c>
      <c r="Y26" s="62"/>
      <c r="Z26" s="62"/>
      <c r="AA26" s="62"/>
      <c r="AB26" s="63"/>
      <c r="AC26" s="62" t="str">
        <f t="shared" si="2"/>
        <v>Bokoblin Guts</v>
      </c>
    </row>
    <row r="27">
      <c r="A27" s="62" t="str">
        <f>IFERROR(__xludf.DUMMYFUNCTION("iferror(SPLIT(Tracker!L28,CHAR(10)),"""")"),"3 Blue Nightshade")</f>
        <v>3 Blue Nightshade</v>
      </c>
      <c r="B27" s="62"/>
      <c r="C27" s="62"/>
      <c r="D27" s="62"/>
      <c r="E27" s="63"/>
      <c r="F27" s="62" t="str">
        <f>IFERROR(__xludf.DUMMYFUNCTION("iferror(SPLIT(Tracker!N28,CHAR(10)),"""")"),"5 Blue Nightshade")</f>
        <v>5 Blue Nightshade</v>
      </c>
      <c r="G27" s="62" t="str">
        <f>IFERROR(__xludf.DUMMYFUNCTION("""COMPUTED_VALUE"""),"5 Sunset Firefly")</f>
        <v>5 Sunset Firefly</v>
      </c>
      <c r="H27" s="62"/>
      <c r="I27" s="62"/>
      <c r="J27" s="63"/>
      <c r="K27" s="62" t="str">
        <f>IFERROR(__xludf.DUMMYFUNCTION("iferror(SPLIT(Tracker!P28,CHAR(10)),"""")"),"8 Silent Shroom")</f>
        <v>8 Silent Shroom</v>
      </c>
      <c r="L27" s="62" t="str">
        <f>IFERROR(__xludf.DUMMYFUNCTION("""COMPUTED_VALUE"""),"5 Sneaky River Snail")</f>
        <v>5 Sneaky River Snail</v>
      </c>
      <c r="M27" s="62" t="str">
        <f>IFERROR(__xludf.DUMMYFUNCTION("""COMPUTED_VALUE"""),"5 Sticky Frog")</f>
        <v>5 Sticky Frog</v>
      </c>
      <c r="N27" s="62"/>
      <c r="O27" s="63"/>
      <c r="P27" s="62" t="str">
        <f>IFERROR(__xludf.DUMMYFUNCTION("iferror(SPLIT(Tracker!R28,CHAR(10)),"""")"),"10 Stealthfin Trout")</f>
        <v>10 Stealthfin Trout</v>
      </c>
      <c r="Q27" s="62" t="str">
        <f>IFERROR(__xludf.DUMMYFUNCTION("""COMPUTED_VALUE"""),"5 Silent Princess")</f>
        <v>5 Silent Princess</v>
      </c>
      <c r="R27" s="62" t="str">
        <f>IFERROR(__xludf.DUMMYFUNCTION("""COMPUTED_VALUE"""),"10 Sundelion")</f>
        <v>10 Sundelion</v>
      </c>
      <c r="S27" s="62"/>
      <c r="T27" s="63"/>
      <c r="U27" s="62" t="str">
        <f>IFERROR(__xludf.DUMMYFUNCTION("""COMPUTED_VALUE"""),"20 Amber")</f>
        <v>20 Amber</v>
      </c>
      <c r="V27" s="62">
        <f>IFERROR(__xludf.DUMMYFUNCTION("SPLIT(U27,"" "")"),20.0)</f>
        <v>20</v>
      </c>
      <c r="W27" s="62" t="str">
        <f>IFERROR(__xludf.DUMMYFUNCTION("""COMPUTED_VALUE"""),"Amber")</f>
        <v>Amber</v>
      </c>
      <c r="X27" s="62"/>
      <c r="Y27" s="62"/>
      <c r="Z27" s="62"/>
      <c r="AA27" s="62"/>
      <c r="AB27" s="63"/>
      <c r="AC27" s="62" t="str">
        <f t="shared" si="2"/>
        <v>Amber</v>
      </c>
    </row>
    <row r="28">
      <c r="A28" s="62" t="str">
        <f>IFERROR(__xludf.DUMMYFUNCTION("iferror(SPLIT(Tracker!L29,CHAR(10)),"""")"),"3 Blue Nightshade")</f>
        <v>3 Blue Nightshade</v>
      </c>
      <c r="B28" s="62"/>
      <c r="C28" s="62"/>
      <c r="D28" s="62"/>
      <c r="E28" s="63"/>
      <c r="F28" s="62" t="str">
        <f>IFERROR(__xludf.DUMMYFUNCTION("iferror(SPLIT(Tracker!N29,CHAR(10)),"""")"),"5 Blue Nightshade")</f>
        <v>5 Blue Nightshade</v>
      </c>
      <c r="G28" s="62" t="str">
        <f>IFERROR(__xludf.DUMMYFUNCTION("""COMPUTED_VALUE"""),"5 Sunset Firefly")</f>
        <v>5 Sunset Firefly</v>
      </c>
      <c r="H28" s="62"/>
      <c r="I28" s="62"/>
      <c r="J28" s="63"/>
      <c r="K28" s="62" t="str">
        <f>IFERROR(__xludf.DUMMYFUNCTION("iferror(SPLIT(Tracker!P29,CHAR(10)),"""")"),"8 Silent Shroom")</f>
        <v>8 Silent Shroom</v>
      </c>
      <c r="L28" s="62" t="str">
        <f>IFERROR(__xludf.DUMMYFUNCTION("""COMPUTED_VALUE"""),"5 Sneaky River Snail")</f>
        <v>5 Sneaky River Snail</v>
      </c>
      <c r="M28" s="62" t="str">
        <f>IFERROR(__xludf.DUMMYFUNCTION("""COMPUTED_VALUE"""),"5 Sticky Frog")</f>
        <v>5 Sticky Frog</v>
      </c>
      <c r="N28" s="62"/>
      <c r="O28" s="63"/>
      <c r="P28" s="62" t="str">
        <f>IFERROR(__xludf.DUMMYFUNCTION("iferror(SPLIT(Tracker!R29,CHAR(10)),"""")"),"10 Stealthfin Trout")</f>
        <v>10 Stealthfin Trout</v>
      </c>
      <c r="Q28" s="62" t="str">
        <f>IFERROR(__xludf.DUMMYFUNCTION("""COMPUTED_VALUE"""),"5 Silent Princess")</f>
        <v>5 Silent Princess</v>
      </c>
      <c r="R28" s="62" t="str">
        <f>IFERROR(__xludf.DUMMYFUNCTION("""COMPUTED_VALUE"""),"10 Sundelion")</f>
        <v>10 Sundelion</v>
      </c>
      <c r="S28" s="62"/>
      <c r="T28" s="63"/>
      <c r="U28" s="62" t="str">
        <f>IFERROR(__xludf.DUMMYFUNCTION("""COMPUTED_VALUE"""),"5 Silver Bokoblin Horn")</f>
        <v>5 Silver Bokoblin Horn</v>
      </c>
      <c r="V28" s="62">
        <f>IFERROR(__xludf.DUMMYFUNCTION("SPLIT(U28,"" "")"),5.0)</f>
        <v>5</v>
      </c>
      <c r="W28" s="62" t="str">
        <f>IFERROR(__xludf.DUMMYFUNCTION("""COMPUTED_VALUE"""),"Silver")</f>
        <v>Silver</v>
      </c>
      <c r="X28" s="62" t="str">
        <f>IFERROR(__xludf.DUMMYFUNCTION("""COMPUTED_VALUE"""),"Bokoblin")</f>
        <v>Bokoblin</v>
      </c>
      <c r="Y28" s="62" t="str">
        <f>IFERROR(__xludf.DUMMYFUNCTION("""COMPUTED_VALUE"""),"Horn")</f>
        <v>Horn</v>
      </c>
      <c r="Z28" s="62"/>
      <c r="AA28" s="62"/>
      <c r="AB28" s="63"/>
      <c r="AC28" s="62" t="str">
        <f t="shared" si="2"/>
        <v>Silver Bokoblin Horn</v>
      </c>
    </row>
    <row r="29">
      <c r="A29" s="62" t="str">
        <f>IFERROR(__xludf.DUMMYFUNCTION("iferror(SPLIT(Tracker!L30,CHAR(10)),"""")"),"3 Keese Wing")</f>
        <v>3 Keese Wing</v>
      </c>
      <c r="B29" s="62" t="str">
        <f>IFERROR(__xludf.DUMMYFUNCTION("""COMPUTED_VALUE"""),"3 Rushroom")</f>
        <v>3 Rushroom</v>
      </c>
      <c r="C29" s="62"/>
      <c r="D29" s="62"/>
      <c r="E29" s="63"/>
      <c r="F29" s="62" t="str">
        <f>IFERROR(__xludf.DUMMYFUNCTION("iferror(SPLIT(Tracker!N30,CHAR(10)),"""")"),"5 Electric Keese Wing")</f>
        <v>5 Electric Keese Wing</v>
      </c>
      <c r="G29" s="62" t="str">
        <f>IFERROR(__xludf.DUMMYFUNCTION("""COMPUTED_VALUE"""),"5 Hightail Lizard")</f>
        <v>5 Hightail Lizard</v>
      </c>
      <c r="H29" s="62"/>
      <c r="I29" s="62"/>
      <c r="J29" s="63"/>
      <c r="K29" s="62" t="str">
        <f>IFERROR(__xludf.DUMMYFUNCTION("iferror(SPLIT(Tracker!P30,CHAR(10)),"""")"),"8 Ice Keese Wing")</f>
        <v>8 Ice Keese Wing</v>
      </c>
      <c r="L29" s="62" t="str">
        <f>IFERROR(__xludf.DUMMYFUNCTION("""COMPUTED_VALUE"""),"10 Hot-Footed Frog")</f>
        <v>10 Hot-Footed Frog</v>
      </c>
      <c r="M29" s="62"/>
      <c r="N29" s="62"/>
      <c r="O29" s="63"/>
      <c r="P29" s="62" t="str">
        <f>IFERROR(__xludf.DUMMYFUNCTION("iferror(SPLIT(Tracker!R30,CHAR(10)),"""")"),"10 Fire Keese Wing")</f>
        <v>10 Fire Keese Wing</v>
      </c>
      <c r="Q29" s="62" t="str">
        <f>IFERROR(__xludf.DUMMYFUNCTION("""COMPUTED_VALUE"""),"20 Swift Violet")</f>
        <v>20 Swift Violet</v>
      </c>
      <c r="R29" s="62"/>
      <c r="S29" s="62"/>
      <c r="T29" s="63"/>
      <c r="U29" s="62" t="str">
        <f>IFERROR(__xludf.DUMMYFUNCTION("""COMPUTED_VALUE"""),"5 Bokoblin Guts")</f>
        <v>5 Bokoblin Guts</v>
      </c>
      <c r="V29" s="62">
        <f>IFERROR(__xludf.DUMMYFUNCTION("SPLIT(U29,"" "")"),5.0)</f>
        <v>5</v>
      </c>
      <c r="W29" s="62" t="str">
        <f>IFERROR(__xludf.DUMMYFUNCTION("""COMPUTED_VALUE"""),"Bokoblin")</f>
        <v>Bokoblin</v>
      </c>
      <c r="X29" s="62" t="str">
        <f>IFERROR(__xludf.DUMMYFUNCTION("""COMPUTED_VALUE"""),"Guts")</f>
        <v>Guts</v>
      </c>
      <c r="Y29" s="62"/>
      <c r="Z29" s="62"/>
      <c r="AA29" s="62"/>
      <c r="AB29" s="63"/>
      <c r="AC29" s="62" t="str">
        <f t="shared" si="2"/>
        <v>Bokoblin Guts</v>
      </c>
    </row>
    <row r="30">
      <c r="A30" s="62" t="str">
        <f>IFERROR(__xludf.DUMMYFUNCTION("iferror(SPLIT(Tracker!L31,CHAR(10)),"""")"),"3 Keese Wing")</f>
        <v>3 Keese Wing</v>
      </c>
      <c r="B30" s="62" t="str">
        <f>IFERROR(__xludf.DUMMYFUNCTION("""COMPUTED_VALUE"""),"3 Rushroom")</f>
        <v>3 Rushroom</v>
      </c>
      <c r="C30" s="62"/>
      <c r="D30" s="62"/>
      <c r="E30" s="63"/>
      <c r="F30" s="62" t="str">
        <f>IFERROR(__xludf.DUMMYFUNCTION("iferror(SPLIT(Tracker!N31,CHAR(10)),"""")"),"5 Electric Keese Wing")</f>
        <v>5 Electric Keese Wing</v>
      </c>
      <c r="G30" s="62" t="str">
        <f>IFERROR(__xludf.DUMMYFUNCTION("""COMPUTED_VALUE"""),"5 Hightail Lizard")</f>
        <v>5 Hightail Lizard</v>
      </c>
      <c r="H30" s="62"/>
      <c r="I30" s="62"/>
      <c r="J30" s="63"/>
      <c r="K30" s="62" t="str">
        <f>IFERROR(__xludf.DUMMYFUNCTION("iferror(SPLIT(Tracker!P31,CHAR(10)),"""")"),"8 Ice Keese Wing")</f>
        <v>8 Ice Keese Wing</v>
      </c>
      <c r="L30" s="62" t="str">
        <f>IFERROR(__xludf.DUMMYFUNCTION("""COMPUTED_VALUE"""),"10 Hot-Footed Frog")</f>
        <v>10 Hot-Footed Frog</v>
      </c>
      <c r="M30" s="62"/>
      <c r="N30" s="62"/>
      <c r="O30" s="63"/>
      <c r="P30" s="62" t="str">
        <f>IFERROR(__xludf.DUMMYFUNCTION("iferror(SPLIT(Tracker!R31,CHAR(10)),"""")"),"10 Fire Keese Wing")</f>
        <v>10 Fire Keese Wing</v>
      </c>
      <c r="Q30" s="62" t="str">
        <f>IFERROR(__xludf.DUMMYFUNCTION("""COMPUTED_VALUE"""),"20 Swift Violet")</f>
        <v>20 Swift Violet</v>
      </c>
      <c r="R30" s="62"/>
      <c r="S30" s="62"/>
      <c r="T30" s="63"/>
      <c r="U30" s="62" t="str">
        <f>IFERROR(__xludf.DUMMYFUNCTION("""COMPUTED_VALUE"""),"30 Amber")</f>
        <v>30 Amber</v>
      </c>
      <c r="V30" s="62">
        <f>IFERROR(__xludf.DUMMYFUNCTION("SPLIT(U30,"" "")"),30.0)</f>
        <v>30</v>
      </c>
      <c r="W30" s="62" t="str">
        <f>IFERROR(__xludf.DUMMYFUNCTION("""COMPUTED_VALUE"""),"Amber")</f>
        <v>Amber</v>
      </c>
      <c r="X30" s="62"/>
      <c r="Y30" s="62"/>
      <c r="Z30" s="62"/>
      <c r="AA30" s="62"/>
      <c r="AB30" s="63"/>
      <c r="AC30" s="62" t="str">
        <f t="shared" si="2"/>
        <v>Amber</v>
      </c>
    </row>
    <row r="31">
      <c r="A31" s="62" t="str">
        <f>IFERROR(__xludf.DUMMYFUNCTION("iferror(SPLIT(Tracker!L32,CHAR(10)),"""")"),"3 Keese Wing")</f>
        <v>3 Keese Wing</v>
      </c>
      <c r="B31" s="62" t="str">
        <f>IFERROR(__xludf.DUMMYFUNCTION("""COMPUTED_VALUE"""),"3 Rushroom")</f>
        <v>3 Rushroom</v>
      </c>
      <c r="C31" s="62"/>
      <c r="D31" s="62"/>
      <c r="E31" s="63"/>
      <c r="F31" s="62" t="str">
        <f>IFERROR(__xludf.DUMMYFUNCTION("iferror(SPLIT(Tracker!N32,CHAR(10)),"""")"),"5 Electric Keese Wing")</f>
        <v>5 Electric Keese Wing</v>
      </c>
      <c r="G31" s="62" t="str">
        <f>IFERROR(__xludf.DUMMYFUNCTION("""COMPUTED_VALUE"""),"5 Hightail Lizard")</f>
        <v>5 Hightail Lizard</v>
      </c>
      <c r="H31" s="62"/>
      <c r="I31" s="62"/>
      <c r="J31" s="63"/>
      <c r="K31" s="62" t="str">
        <f>IFERROR(__xludf.DUMMYFUNCTION("iferror(SPLIT(Tracker!P32,CHAR(10)),"""")"),"8 Ice Keese Wing")</f>
        <v>8 Ice Keese Wing</v>
      </c>
      <c r="L31" s="62" t="str">
        <f>IFERROR(__xludf.DUMMYFUNCTION("""COMPUTED_VALUE"""),"10 Hot-Footed Frog")</f>
        <v>10 Hot-Footed Frog</v>
      </c>
      <c r="M31" s="62"/>
      <c r="N31" s="62"/>
      <c r="O31" s="63"/>
      <c r="P31" s="62" t="str">
        <f>IFERROR(__xludf.DUMMYFUNCTION("iferror(SPLIT(Tracker!R32,CHAR(10)),"""")"),"10 Fire Keese Wing")</f>
        <v>10 Fire Keese Wing</v>
      </c>
      <c r="Q31" s="62" t="str">
        <f>IFERROR(__xludf.DUMMYFUNCTION("""COMPUTED_VALUE"""),"20 Swift Violet")</f>
        <v>20 Swift Violet</v>
      </c>
      <c r="R31" s="62"/>
      <c r="S31" s="62"/>
      <c r="T31" s="63"/>
      <c r="U31" s="62" t="str">
        <f>IFERROR(__xludf.DUMMYFUNCTION("""COMPUTED_VALUE"""),"5 Bokoblin Horn")</f>
        <v>5 Bokoblin Horn</v>
      </c>
      <c r="V31" s="62">
        <f>IFERROR(__xludf.DUMMYFUNCTION("SPLIT(U31,"" "")"),5.0)</f>
        <v>5</v>
      </c>
      <c r="W31" s="62" t="str">
        <f>IFERROR(__xludf.DUMMYFUNCTION("""COMPUTED_VALUE"""),"Bokoblin")</f>
        <v>Bokoblin</v>
      </c>
      <c r="X31" s="62" t="str">
        <f>IFERROR(__xludf.DUMMYFUNCTION("""COMPUTED_VALUE"""),"Horn")</f>
        <v>Horn</v>
      </c>
      <c r="Y31" s="62"/>
      <c r="Z31" s="62"/>
      <c r="AA31" s="62"/>
      <c r="AB31" s="63"/>
      <c r="AC31" s="62" t="str">
        <f t="shared" si="2"/>
        <v>Bokoblin Horn</v>
      </c>
    </row>
    <row r="32">
      <c r="A32" s="62" t="str">
        <f>IFERROR(__xludf.DUMMYFUNCTION("iferror(SPLIT(Tracker!L33,CHAR(10)),"""")"),"3 Mighty Thistle")</f>
        <v>3 Mighty Thistle</v>
      </c>
      <c r="B32" s="62"/>
      <c r="C32" s="62"/>
      <c r="D32" s="62"/>
      <c r="E32" s="63"/>
      <c r="F32" s="62" t="str">
        <f>IFERROR(__xludf.DUMMYFUNCTION("iferror(SPLIT(Tracker!N33,CHAR(10)),"""")"),"2 Lynel Saber Horn")</f>
        <v>2 Lynel Saber Horn</v>
      </c>
      <c r="G32" s="62" t="str">
        <f>IFERROR(__xludf.DUMMYFUNCTION("""COMPUTED_VALUE"""),"2 Lynel Mace Horn")</f>
        <v>2 Lynel Mace Horn</v>
      </c>
      <c r="H32" s="62" t="str">
        <f>IFERROR(__xludf.DUMMYFUNCTION("""COMPUTED_VALUE"""),"5 Razorshroom")</f>
        <v>5 Razorshroom</v>
      </c>
      <c r="I32" s="62"/>
      <c r="J32" s="63"/>
      <c r="K32" s="62" t="str">
        <f>IFERROR(__xludf.DUMMYFUNCTION("iferror(SPLIT(Tracker!P33,CHAR(10)),"""")"),"3 Blue-Maned Lynel Saber Horn")</f>
        <v>3 Blue-Maned Lynel Saber Horn</v>
      </c>
      <c r="L32" s="62" t="str">
        <f>IFERROR(__xludf.DUMMYFUNCTION("""COMPUTED_VALUE"""),"3 Blue-Maned Lynel Mace Horn")</f>
        <v>3 Blue-Maned Lynel Mace Horn</v>
      </c>
      <c r="M32" s="62" t="str">
        <f>IFERROR(__xludf.DUMMYFUNCTION("""COMPUTED_VALUE"""),"3 Razorclaw Crab")</f>
        <v>3 Razorclaw Crab</v>
      </c>
      <c r="N32" s="62"/>
      <c r="O32" s="63"/>
      <c r="P32" s="62" t="str">
        <f>IFERROR(__xludf.DUMMYFUNCTION("iferror(SPLIT(Tracker!R33,CHAR(10)),"""")"),"3 White-Maned Lynel Saber Horn")</f>
        <v>3 White-Maned Lynel Saber Horn</v>
      </c>
      <c r="Q32" s="62" t="str">
        <f>IFERROR(__xludf.DUMMYFUNCTION("""COMPUTED_VALUE"""),"3 White-Maned Lynel Mace Horn")</f>
        <v>3 White-Maned Lynel Mace Horn</v>
      </c>
      <c r="R32" s="62" t="str">
        <f>IFERROR(__xludf.DUMMYFUNCTION("""COMPUTED_VALUE"""),"3 Bladed Rhino Beetle")</f>
        <v>3 Bladed Rhino Beetle</v>
      </c>
      <c r="S32" s="62"/>
      <c r="T32" s="63"/>
      <c r="U32" s="62" t="str">
        <f>IFERROR(__xludf.DUMMYFUNCTION("""COMPUTED_VALUE"""),"5 Blue Bokoblin Horn")</f>
        <v>5 Blue Bokoblin Horn</v>
      </c>
      <c r="V32" s="62">
        <f>IFERROR(__xludf.DUMMYFUNCTION("SPLIT(U32,"" "")"),5.0)</f>
        <v>5</v>
      </c>
      <c r="W32" s="62" t="str">
        <f>IFERROR(__xludf.DUMMYFUNCTION("""COMPUTED_VALUE"""),"Blue")</f>
        <v>Blue</v>
      </c>
      <c r="X32" s="62" t="str">
        <f>IFERROR(__xludf.DUMMYFUNCTION("""COMPUTED_VALUE"""),"Bokoblin")</f>
        <v>Bokoblin</v>
      </c>
      <c r="Y32" s="62" t="str">
        <f>IFERROR(__xludf.DUMMYFUNCTION("""COMPUTED_VALUE"""),"Horn")</f>
        <v>Horn</v>
      </c>
      <c r="Z32" s="62"/>
      <c r="AA32" s="62"/>
      <c r="AB32" s="63"/>
      <c r="AC32" s="62" t="str">
        <f t="shared" si="2"/>
        <v>Blue Bokoblin Horn</v>
      </c>
    </row>
    <row r="33">
      <c r="A33" s="62" t="str">
        <f>IFERROR(__xludf.DUMMYFUNCTION("iferror(SPLIT(Tracker!L34,CHAR(10)),"""")"),"3 Mighty Thistle")</f>
        <v>3 Mighty Thistle</v>
      </c>
      <c r="B33" s="62"/>
      <c r="C33" s="62"/>
      <c r="D33" s="62"/>
      <c r="E33" s="63"/>
      <c r="F33" s="62" t="str">
        <f>IFERROR(__xludf.DUMMYFUNCTION("iferror(SPLIT(Tracker!N34,CHAR(10)),"""")"),"2 Lynel Saber Horn")</f>
        <v>2 Lynel Saber Horn</v>
      </c>
      <c r="G33" s="62" t="str">
        <f>IFERROR(__xludf.DUMMYFUNCTION("""COMPUTED_VALUE"""),"2 Lynel Mace Horn")</f>
        <v>2 Lynel Mace Horn</v>
      </c>
      <c r="H33" s="62" t="str">
        <f>IFERROR(__xludf.DUMMYFUNCTION("""COMPUTED_VALUE"""),"5 Razorshroom")</f>
        <v>5 Razorshroom</v>
      </c>
      <c r="I33" s="62"/>
      <c r="J33" s="63"/>
      <c r="K33" s="62" t="str">
        <f>IFERROR(__xludf.DUMMYFUNCTION("iferror(SPLIT(Tracker!P34,CHAR(10)),"""")"),"3 Blue-Maned Lynel Saber Horn")</f>
        <v>3 Blue-Maned Lynel Saber Horn</v>
      </c>
      <c r="L33" s="62" t="str">
        <f>IFERROR(__xludf.DUMMYFUNCTION("""COMPUTED_VALUE"""),"3 Blue-Maned Lynel Mace Horn")</f>
        <v>3 Blue-Maned Lynel Mace Horn</v>
      </c>
      <c r="M33" s="62" t="str">
        <f>IFERROR(__xludf.DUMMYFUNCTION("""COMPUTED_VALUE"""),"3 Razorclaw Crab")</f>
        <v>3 Razorclaw Crab</v>
      </c>
      <c r="N33" s="62"/>
      <c r="O33" s="63"/>
      <c r="P33" s="62" t="str">
        <f>IFERROR(__xludf.DUMMYFUNCTION("iferror(SPLIT(Tracker!R34,CHAR(10)),"""")"),"3 White-Maned Lynel Saber Horn")</f>
        <v>3 White-Maned Lynel Saber Horn</v>
      </c>
      <c r="Q33" s="62" t="str">
        <f>IFERROR(__xludf.DUMMYFUNCTION("""COMPUTED_VALUE"""),"3 White-Maned Lynel Mace Horn")</f>
        <v>3 White-Maned Lynel Mace Horn</v>
      </c>
      <c r="R33" s="62" t="str">
        <f>IFERROR(__xludf.DUMMYFUNCTION("""COMPUTED_VALUE"""),"3 Bladed Rhino Beetle")</f>
        <v>3 Bladed Rhino Beetle</v>
      </c>
      <c r="S33" s="62"/>
      <c r="T33" s="63"/>
      <c r="U33" s="62" t="str">
        <f>IFERROR(__xludf.DUMMYFUNCTION("""COMPUTED_VALUE"""),"3 Bokoblin Fang")</f>
        <v>3 Bokoblin Fang</v>
      </c>
      <c r="V33" s="62">
        <f>IFERROR(__xludf.DUMMYFUNCTION("SPLIT(U33,"" "")"),3.0)</f>
        <v>3</v>
      </c>
      <c r="W33" s="62" t="str">
        <f>IFERROR(__xludf.DUMMYFUNCTION("""COMPUTED_VALUE"""),"Bokoblin")</f>
        <v>Bokoblin</v>
      </c>
      <c r="X33" s="62" t="str">
        <f>IFERROR(__xludf.DUMMYFUNCTION("""COMPUTED_VALUE"""),"Fang")</f>
        <v>Fang</v>
      </c>
      <c r="Y33" s="62"/>
      <c r="Z33" s="62"/>
      <c r="AA33" s="62"/>
      <c r="AB33" s="63"/>
      <c r="AC33" s="62" t="str">
        <f t="shared" si="2"/>
        <v>Bokoblin Fang</v>
      </c>
    </row>
    <row r="34">
      <c r="A34" s="62" t="str">
        <f>IFERROR(__xludf.DUMMYFUNCTION("iferror(SPLIT(Tracker!L35,CHAR(10)),"""")"),"3 Mighty Thistle")</f>
        <v>3 Mighty Thistle</v>
      </c>
      <c r="B34" s="62"/>
      <c r="C34" s="62"/>
      <c r="D34" s="62"/>
      <c r="E34" s="63"/>
      <c r="F34" s="62" t="str">
        <f>IFERROR(__xludf.DUMMYFUNCTION("iferror(SPLIT(Tracker!N35,CHAR(10)),"""")"),"2 Lynel Saber Horn")</f>
        <v>2 Lynel Saber Horn</v>
      </c>
      <c r="G34" s="62" t="str">
        <f>IFERROR(__xludf.DUMMYFUNCTION("""COMPUTED_VALUE"""),"2 Lynel Mace Horn")</f>
        <v>2 Lynel Mace Horn</v>
      </c>
      <c r="H34" s="62" t="str">
        <f>IFERROR(__xludf.DUMMYFUNCTION("""COMPUTED_VALUE"""),"5 Razorshroom")</f>
        <v>5 Razorshroom</v>
      </c>
      <c r="I34" s="62"/>
      <c r="J34" s="63"/>
      <c r="K34" s="62" t="str">
        <f>IFERROR(__xludf.DUMMYFUNCTION("iferror(SPLIT(Tracker!P35,CHAR(10)),"""")"),"3 Blue-Maned Lynel Saber Horn")</f>
        <v>3 Blue-Maned Lynel Saber Horn</v>
      </c>
      <c r="L34" s="62" t="str">
        <f>IFERROR(__xludf.DUMMYFUNCTION("""COMPUTED_VALUE"""),"3 Blue-Maned Lynel Mace Horn")</f>
        <v>3 Blue-Maned Lynel Mace Horn</v>
      </c>
      <c r="M34" s="62" t="str">
        <f>IFERROR(__xludf.DUMMYFUNCTION("""COMPUTED_VALUE"""),"3 Razorclaw Crab")</f>
        <v>3 Razorclaw Crab</v>
      </c>
      <c r="N34" s="62"/>
      <c r="O34" s="63"/>
      <c r="P34" s="62" t="str">
        <f>IFERROR(__xludf.DUMMYFUNCTION("iferror(SPLIT(Tracker!R35,CHAR(10)),"""")"),"3 White-Maned Lynel Saber Horn")</f>
        <v>3 White-Maned Lynel Saber Horn</v>
      </c>
      <c r="Q34" s="62" t="str">
        <f>IFERROR(__xludf.DUMMYFUNCTION("""COMPUTED_VALUE"""),"3 White-Maned Lynel Mace Horn")</f>
        <v>3 White-Maned Lynel Mace Horn</v>
      </c>
      <c r="R34" s="62" t="str">
        <f>IFERROR(__xludf.DUMMYFUNCTION("""COMPUTED_VALUE"""),"3 Bladed Rhino Beetle")</f>
        <v>3 Bladed Rhino Beetle</v>
      </c>
      <c r="S34" s="62"/>
      <c r="T34" s="63"/>
      <c r="U34" s="62" t="str">
        <f>IFERROR(__xludf.DUMMYFUNCTION("""COMPUTED_VALUE"""),"5 Black Bokoblin Horn")</f>
        <v>5 Black Bokoblin Horn</v>
      </c>
      <c r="V34" s="62">
        <f>IFERROR(__xludf.DUMMYFUNCTION("SPLIT(U34,"" "")"),5.0)</f>
        <v>5</v>
      </c>
      <c r="W34" s="62" t="str">
        <f>IFERROR(__xludf.DUMMYFUNCTION("""COMPUTED_VALUE"""),"Black")</f>
        <v>Black</v>
      </c>
      <c r="X34" s="62" t="str">
        <f>IFERROR(__xludf.DUMMYFUNCTION("""COMPUTED_VALUE"""),"Bokoblin")</f>
        <v>Bokoblin</v>
      </c>
      <c r="Y34" s="62" t="str">
        <f>IFERROR(__xludf.DUMMYFUNCTION("""COMPUTED_VALUE"""),"Horn")</f>
        <v>Horn</v>
      </c>
      <c r="Z34" s="62"/>
      <c r="AA34" s="62"/>
      <c r="AB34" s="63"/>
      <c r="AC34" s="62" t="str">
        <f t="shared" si="2"/>
        <v>Black Bokoblin Horn</v>
      </c>
    </row>
    <row r="35">
      <c r="A35" s="62" t="str">
        <f>IFERROR(__xludf.DUMMYFUNCTION("iferror(SPLIT(Tracker!L36,CHAR(10)),"""")"),"10 Luminous Stone")</f>
        <v>10 Luminous Stone</v>
      </c>
      <c r="B35" s="62" t="str">
        <f>IFERROR(__xludf.DUMMYFUNCTION("""COMPUTED_VALUE"""),"1 Bokoblin Guts")</f>
        <v>1 Bokoblin Guts</v>
      </c>
      <c r="C35" s="62"/>
      <c r="D35" s="62"/>
      <c r="E35" s="63"/>
      <c r="F35" s="62" t="str">
        <f>IFERROR(__xludf.DUMMYFUNCTION("iferror(SPLIT(Tracker!N36,CHAR(10)),"""")"),"15 Luminous Stone")</f>
        <v>15 Luminous Stone</v>
      </c>
      <c r="G35" s="62" t="str">
        <f>IFERROR(__xludf.DUMMYFUNCTION("""COMPUTED_VALUE"""),"2 Moblin Guts")</f>
        <v>2 Moblin Guts</v>
      </c>
      <c r="H35" s="62"/>
      <c r="I35" s="62"/>
      <c r="J35" s="63"/>
      <c r="K35" s="62" t="str">
        <f>IFERROR(__xludf.DUMMYFUNCTION("iferror(SPLIT(Tracker!P36,CHAR(10)),"""")"),"20 Luminous Stone")</f>
        <v>20 Luminous Stone</v>
      </c>
      <c r="L35" s="62" t="str">
        <f>IFERROR(__xludf.DUMMYFUNCTION("""COMPUTED_VALUE"""),"3 Horriblin Guts")</f>
        <v>3 Horriblin Guts</v>
      </c>
      <c r="M35" s="62" t="str">
        <f>IFERROR(__xludf.DUMMYFUNCTION("""COMPUTED_VALUE"""),"10 Gibdo Bone")</f>
        <v>10 Gibdo Bone</v>
      </c>
      <c r="N35" s="62"/>
      <c r="O35" s="63"/>
      <c r="P35" s="62" t="str">
        <f>IFERROR(__xludf.DUMMYFUNCTION("iferror(SPLIT(Tracker!R36,CHAR(10)),"""")"),"30 Luminous Stone")</f>
        <v>30 Luminous Stone</v>
      </c>
      <c r="Q35" s="62" t="str">
        <f>IFERROR(__xludf.DUMMYFUNCTION("""COMPUTED_VALUE"""),"3 Lynel Guts")</f>
        <v>3 Lynel Guts</v>
      </c>
      <c r="R35" s="62" t="str">
        <f>IFERROR(__xludf.DUMMYFUNCTION("""COMPUTED_VALUE"""),"3 Molduga Jaw")</f>
        <v>3 Molduga Jaw</v>
      </c>
      <c r="S35" s="62"/>
      <c r="T35" s="63"/>
      <c r="U35" s="62" t="str">
        <f>IFERROR(__xludf.DUMMYFUNCTION("""COMPUTED_VALUE"""),"3 Bokoblin Guts")</f>
        <v>3 Bokoblin Guts</v>
      </c>
      <c r="V35" s="62">
        <f>IFERROR(__xludf.DUMMYFUNCTION("SPLIT(U35,"" "")"),3.0)</f>
        <v>3</v>
      </c>
      <c r="W35" s="62" t="str">
        <f>IFERROR(__xludf.DUMMYFUNCTION("""COMPUTED_VALUE"""),"Bokoblin")</f>
        <v>Bokoblin</v>
      </c>
      <c r="X35" s="62" t="str">
        <f>IFERROR(__xludf.DUMMYFUNCTION("""COMPUTED_VALUE"""),"Guts")</f>
        <v>Guts</v>
      </c>
      <c r="Y35" s="62"/>
      <c r="Z35" s="62"/>
      <c r="AA35" s="62"/>
      <c r="AB35" s="63"/>
      <c r="AC35" s="62" t="str">
        <f t="shared" si="2"/>
        <v>Bokoblin Guts</v>
      </c>
    </row>
    <row r="36">
      <c r="A36" s="62" t="str">
        <f>IFERROR(__xludf.DUMMYFUNCTION("iferror(SPLIT(Tracker!L37,CHAR(10)),"""")"),"10 Luminous Stone")</f>
        <v>10 Luminous Stone</v>
      </c>
      <c r="B36" s="62" t="str">
        <f>IFERROR(__xludf.DUMMYFUNCTION("""COMPUTED_VALUE"""),"1 Bokoblin Guts")</f>
        <v>1 Bokoblin Guts</v>
      </c>
      <c r="C36" s="62"/>
      <c r="D36" s="62"/>
      <c r="E36" s="63"/>
      <c r="F36" s="62" t="str">
        <f>IFERROR(__xludf.DUMMYFUNCTION("iferror(SPLIT(Tracker!N37,CHAR(10)),"""")"),"15 Luminous Stone")</f>
        <v>15 Luminous Stone</v>
      </c>
      <c r="G36" s="62" t="str">
        <f>IFERROR(__xludf.DUMMYFUNCTION("""COMPUTED_VALUE"""),"2 Moblin Guts")</f>
        <v>2 Moblin Guts</v>
      </c>
      <c r="H36" s="62"/>
      <c r="I36" s="62"/>
      <c r="J36" s="63"/>
      <c r="K36" s="62" t="str">
        <f>IFERROR(__xludf.DUMMYFUNCTION("iferror(SPLIT(Tracker!P37,CHAR(10)),"""")"),"20 Luminous Stone")</f>
        <v>20 Luminous Stone</v>
      </c>
      <c r="L36" s="62" t="str">
        <f>IFERROR(__xludf.DUMMYFUNCTION("""COMPUTED_VALUE"""),"3 Horriblin Guts")</f>
        <v>3 Horriblin Guts</v>
      </c>
      <c r="M36" s="62" t="str">
        <f>IFERROR(__xludf.DUMMYFUNCTION("""COMPUTED_VALUE"""),"10 Gibdo Bone")</f>
        <v>10 Gibdo Bone</v>
      </c>
      <c r="N36" s="62"/>
      <c r="O36" s="63"/>
      <c r="P36" s="62" t="str">
        <f>IFERROR(__xludf.DUMMYFUNCTION("iferror(SPLIT(Tracker!R37,CHAR(10)),"""")"),"30 Luminous Stone")</f>
        <v>30 Luminous Stone</v>
      </c>
      <c r="Q36" s="62" t="str">
        <f>IFERROR(__xludf.DUMMYFUNCTION("""COMPUTED_VALUE"""),"3 Lynel Guts")</f>
        <v>3 Lynel Guts</v>
      </c>
      <c r="R36" s="62" t="str">
        <f>IFERROR(__xludf.DUMMYFUNCTION("""COMPUTED_VALUE"""),"3 Molduga Jaw")</f>
        <v>3 Molduga Jaw</v>
      </c>
      <c r="S36" s="62"/>
      <c r="T36" s="63"/>
      <c r="U36" s="62" t="str">
        <f>IFERROR(__xludf.DUMMYFUNCTION("""COMPUTED_VALUE"""),"20 Amber")</f>
        <v>20 Amber</v>
      </c>
      <c r="V36" s="62">
        <f>IFERROR(__xludf.DUMMYFUNCTION("SPLIT(U36,"" "")"),20.0)</f>
        <v>20</v>
      </c>
      <c r="W36" s="62" t="str">
        <f>IFERROR(__xludf.DUMMYFUNCTION("""COMPUTED_VALUE"""),"Amber")</f>
        <v>Amber</v>
      </c>
      <c r="X36" s="62"/>
      <c r="Y36" s="62"/>
      <c r="Z36" s="62"/>
      <c r="AA36" s="62"/>
      <c r="AB36" s="63"/>
      <c r="AC36" s="62" t="str">
        <f t="shared" si="2"/>
        <v>Amber</v>
      </c>
    </row>
    <row r="37">
      <c r="A37" s="62" t="str">
        <f>IFERROR(__xludf.DUMMYFUNCTION("iferror(SPLIT(Tracker!L38,CHAR(10)),"""")"),"10 Luminous Stone")</f>
        <v>10 Luminous Stone</v>
      </c>
      <c r="B37" s="62" t="str">
        <f>IFERROR(__xludf.DUMMYFUNCTION("""COMPUTED_VALUE"""),"1 Bokoblin Guts")</f>
        <v>1 Bokoblin Guts</v>
      </c>
      <c r="C37" s="62"/>
      <c r="D37" s="62"/>
      <c r="E37" s="63"/>
      <c r="F37" s="62" t="str">
        <f>IFERROR(__xludf.DUMMYFUNCTION("iferror(SPLIT(Tracker!N38,CHAR(10)),"""")"),"15 Luminous Stone")</f>
        <v>15 Luminous Stone</v>
      </c>
      <c r="G37" s="62" t="str">
        <f>IFERROR(__xludf.DUMMYFUNCTION("""COMPUTED_VALUE"""),"2 Moblin Guts")</f>
        <v>2 Moblin Guts</v>
      </c>
      <c r="H37" s="62"/>
      <c r="I37" s="62"/>
      <c r="J37" s="63"/>
      <c r="K37" s="62" t="str">
        <f>IFERROR(__xludf.DUMMYFUNCTION("iferror(SPLIT(Tracker!P38,CHAR(10)),"""")"),"20 Luminous Stone")</f>
        <v>20 Luminous Stone</v>
      </c>
      <c r="L37" s="62" t="str">
        <f>IFERROR(__xludf.DUMMYFUNCTION("""COMPUTED_VALUE"""),"3 Horriblin Guts")</f>
        <v>3 Horriblin Guts</v>
      </c>
      <c r="M37" s="62" t="str">
        <f>IFERROR(__xludf.DUMMYFUNCTION("""COMPUTED_VALUE"""),"10 Gibdo Bone")</f>
        <v>10 Gibdo Bone</v>
      </c>
      <c r="N37" s="62"/>
      <c r="O37" s="63"/>
      <c r="P37" s="62" t="str">
        <f>IFERROR(__xludf.DUMMYFUNCTION("iferror(SPLIT(Tracker!R38,CHAR(10)),"""")"),"30 Luminous Stone")</f>
        <v>30 Luminous Stone</v>
      </c>
      <c r="Q37" s="62" t="str">
        <f>IFERROR(__xludf.DUMMYFUNCTION("""COMPUTED_VALUE"""),"3 Lynel Guts")</f>
        <v>3 Lynel Guts</v>
      </c>
      <c r="R37" s="62" t="str">
        <f>IFERROR(__xludf.DUMMYFUNCTION("""COMPUTED_VALUE"""),"3 Molduga Jaw")</f>
        <v>3 Molduga Jaw</v>
      </c>
      <c r="S37" s="62"/>
      <c r="T37" s="63"/>
      <c r="U37" s="62" t="str">
        <f>IFERROR(__xludf.DUMMYFUNCTION("""COMPUTED_VALUE"""),"5 Silver Bokoblin Horn")</f>
        <v>5 Silver Bokoblin Horn</v>
      </c>
      <c r="V37" s="62">
        <f>IFERROR(__xludf.DUMMYFUNCTION("SPLIT(U37,"" "")"),5.0)</f>
        <v>5</v>
      </c>
      <c r="W37" s="62" t="str">
        <f>IFERROR(__xludf.DUMMYFUNCTION("""COMPUTED_VALUE"""),"Silver")</f>
        <v>Silver</v>
      </c>
      <c r="X37" s="62" t="str">
        <f>IFERROR(__xludf.DUMMYFUNCTION("""COMPUTED_VALUE"""),"Bokoblin")</f>
        <v>Bokoblin</v>
      </c>
      <c r="Y37" s="62" t="str">
        <f>IFERROR(__xludf.DUMMYFUNCTION("""COMPUTED_VALUE"""),"Horn")</f>
        <v>Horn</v>
      </c>
      <c r="Z37" s="62"/>
      <c r="AA37" s="62"/>
      <c r="AB37" s="63"/>
      <c r="AC37" s="62" t="str">
        <f t="shared" si="2"/>
        <v>Silver Bokoblin Horn</v>
      </c>
    </row>
    <row r="38">
      <c r="A38" s="62" t="str">
        <f>IFERROR(__xludf.DUMMYFUNCTION("iferror(SPLIT(Tracker!L39,CHAR(10)),"""")"),"3 Boss Bokoblin Horn")</f>
        <v>3 Boss Bokoblin Horn</v>
      </c>
      <c r="B38" s="62" t="str">
        <f>IFERROR(__xludf.DUMMYFUNCTION("""COMPUTED_VALUE"""),"3 Bokoblin Guts")</f>
        <v>3 Bokoblin Guts</v>
      </c>
      <c r="C38" s="62"/>
      <c r="D38" s="62"/>
      <c r="E38" s="63"/>
      <c r="F38" s="62" t="str">
        <f>IFERROR(__xludf.DUMMYFUNCTION("iferror(SPLIT(Tracker!N39,CHAR(10)),"""")"),"3 Blue Boss Bokoblin Horn")</f>
        <v>3 Blue Boss Bokoblin Horn</v>
      </c>
      <c r="G38" s="62" t="str">
        <f>IFERROR(__xludf.DUMMYFUNCTION("""COMPUTED_VALUE"""),"3 Boss Bokoblin Guts")</f>
        <v>3 Boss Bokoblin Guts</v>
      </c>
      <c r="H38" s="62"/>
      <c r="I38" s="62"/>
      <c r="J38" s="63"/>
      <c r="K38" s="62" t="str">
        <f>IFERROR(__xludf.DUMMYFUNCTION("iferror(SPLIT(Tracker!P39,CHAR(10)),"""")"),"3 Black Boss Bokoblin Horn")</f>
        <v>3 Black Boss Bokoblin Horn</v>
      </c>
      <c r="L38" s="62" t="str">
        <f>IFERROR(__xludf.DUMMYFUNCTION("""COMPUTED_VALUE"""),"3 Hinox Guts")</f>
        <v>3 Hinox Guts</v>
      </c>
      <c r="M38" s="62"/>
      <c r="N38" s="62"/>
      <c r="O38" s="63"/>
      <c r="P38" s="62" t="str">
        <f>IFERROR(__xludf.DUMMYFUNCTION("iferror(SPLIT(Tracker!R39,CHAR(10)),"""")"),"3 Silver Boss Bokoblin Horn")</f>
        <v>3 Silver Boss Bokoblin Horn</v>
      </c>
      <c r="Q38" s="62" t="str">
        <f>IFERROR(__xludf.DUMMYFUNCTION("""COMPUTED_VALUE"""),"3 Molduga Guts")</f>
        <v>3 Molduga Guts</v>
      </c>
      <c r="R38" s="62" t="str">
        <f>IFERROR(__xludf.DUMMYFUNCTION("""COMPUTED_VALUE"""),"3 Gleeok Guts")</f>
        <v>3 Gleeok Guts</v>
      </c>
      <c r="S38" s="62"/>
      <c r="T38" s="63"/>
      <c r="U38" s="62" t="str">
        <f>IFERROR(__xludf.DUMMYFUNCTION("""COMPUTED_VALUE"""),"5 Bokoblin Guts")</f>
        <v>5 Bokoblin Guts</v>
      </c>
      <c r="V38" s="62">
        <f>IFERROR(__xludf.DUMMYFUNCTION("SPLIT(U38,"" "")"),5.0)</f>
        <v>5</v>
      </c>
      <c r="W38" s="62" t="str">
        <f>IFERROR(__xludf.DUMMYFUNCTION("""COMPUTED_VALUE"""),"Bokoblin")</f>
        <v>Bokoblin</v>
      </c>
      <c r="X38" s="62" t="str">
        <f>IFERROR(__xludf.DUMMYFUNCTION("""COMPUTED_VALUE"""),"Guts")</f>
        <v>Guts</v>
      </c>
      <c r="Y38" s="62"/>
      <c r="Z38" s="62"/>
      <c r="AA38" s="62"/>
      <c r="AB38" s="63"/>
      <c r="AC38" s="62" t="str">
        <f t="shared" si="2"/>
        <v>Bokoblin Guts</v>
      </c>
    </row>
    <row r="39">
      <c r="A39" s="62" t="str">
        <f>IFERROR(__xludf.DUMMYFUNCTION("iferror(SPLIT(Tracker!L40,CHAR(10)),"""")"),"3 Boss Bokoblin Horn")</f>
        <v>3 Boss Bokoblin Horn</v>
      </c>
      <c r="B39" s="62" t="str">
        <f>IFERROR(__xludf.DUMMYFUNCTION("""COMPUTED_VALUE"""),"3 Bokoblin Guts")</f>
        <v>3 Bokoblin Guts</v>
      </c>
      <c r="C39" s="62"/>
      <c r="D39" s="62"/>
      <c r="E39" s="63"/>
      <c r="F39" s="62" t="str">
        <f>IFERROR(__xludf.DUMMYFUNCTION("iferror(SPLIT(Tracker!N40,CHAR(10)),"""")"),"3 Blue Boss Bokoblin Horn")</f>
        <v>3 Blue Boss Bokoblin Horn</v>
      </c>
      <c r="G39" s="62" t="str">
        <f>IFERROR(__xludf.DUMMYFUNCTION("""COMPUTED_VALUE"""),"3 Boss Bokoblin Guts")</f>
        <v>3 Boss Bokoblin Guts</v>
      </c>
      <c r="H39" s="62"/>
      <c r="I39" s="62"/>
      <c r="J39" s="63"/>
      <c r="K39" s="62" t="str">
        <f>IFERROR(__xludf.DUMMYFUNCTION("iferror(SPLIT(Tracker!P40,CHAR(10)),"""")"),"3 Black Boss Bokoblin Horn")</f>
        <v>3 Black Boss Bokoblin Horn</v>
      </c>
      <c r="L39" s="62" t="str">
        <f>IFERROR(__xludf.DUMMYFUNCTION("""COMPUTED_VALUE"""),"3 Hinox Guts")</f>
        <v>3 Hinox Guts</v>
      </c>
      <c r="M39" s="62"/>
      <c r="N39" s="62"/>
      <c r="O39" s="63"/>
      <c r="P39" s="62" t="str">
        <f>IFERROR(__xludf.DUMMYFUNCTION("iferror(SPLIT(Tracker!R40,CHAR(10)),"""")"),"3 Silver Boss Bokoblin Horn")</f>
        <v>3 Silver Boss Bokoblin Horn</v>
      </c>
      <c r="Q39" s="62" t="str">
        <f>IFERROR(__xludf.DUMMYFUNCTION("""COMPUTED_VALUE"""),"3 Molduga Guts")</f>
        <v>3 Molduga Guts</v>
      </c>
      <c r="R39" s="62" t="str">
        <f>IFERROR(__xludf.DUMMYFUNCTION("""COMPUTED_VALUE"""),"3 Gleeok Guts")</f>
        <v>3 Gleeok Guts</v>
      </c>
      <c r="S39" s="62"/>
      <c r="T39" s="63"/>
      <c r="U39" s="62" t="str">
        <f>IFERROR(__xludf.DUMMYFUNCTION("""COMPUTED_VALUE"""),"30 Amber")</f>
        <v>30 Amber</v>
      </c>
      <c r="V39" s="62">
        <f>IFERROR(__xludf.DUMMYFUNCTION("SPLIT(U39,"" "")"),30.0)</f>
        <v>30</v>
      </c>
      <c r="W39" s="62" t="str">
        <f>IFERROR(__xludf.DUMMYFUNCTION("""COMPUTED_VALUE"""),"Amber")</f>
        <v>Amber</v>
      </c>
      <c r="X39" s="62"/>
      <c r="Y39" s="62"/>
      <c r="Z39" s="62"/>
      <c r="AA39" s="62"/>
      <c r="AB39" s="63"/>
      <c r="AC39" s="62" t="str">
        <f t="shared" si="2"/>
        <v>Amber</v>
      </c>
    </row>
    <row r="40">
      <c r="A40" s="62" t="str">
        <f>IFERROR(__xludf.DUMMYFUNCTION("iferror(SPLIT(Tracker!L41,CHAR(10)),"""")"),"3 Boss Bokoblin Horn")</f>
        <v>3 Boss Bokoblin Horn</v>
      </c>
      <c r="B40" s="62" t="str">
        <f>IFERROR(__xludf.DUMMYFUNCTION("""COMPUTED_VALUE"""),"3 Bokoblin Guts")</f>
        <v>3 Bokoblin Guts</v>
      </c>
      <c r="C40" s="62"/>
      <c r="D40" s="62"/>
      <c r="E40" s="63"/>
      <c r="F40" s="62" t="str">
        <f>IFERROR(__xludf.DUMMYFUNCTION("iferror(SPLIT(Tracker!N41,CHAR(10)),"""")"),"3 Blue Boss Bokoblin Horn")</f>
        <v>3 Blue Boss Bokoblin Horn</v>
      </c>
      <c r="G40" s="62" t="str">
        <f>IFERROR(__xludf.DUMMYFUNCTION("""COMPUTED_VALUE"""),"3 Boss Bokoblin Guts")</f>
        <v>3 Boss Bokoblin Guts</v>
      </c>
      <c r="H40" s="62"/>
      <c r="I40" s="62"/>
      <c r="J40" s="63"/>
      <c r="K40" s="62" t="str">
        <f>IFERROR(__xludf.DUMMYFUNCTION("iferror(SPLIT(Tracker!P41,CHAR(10)),"""")"),"3 Black Boss Bokoblin Horn")</f>
        <v>3 Black Boss Bokoblin Horn</v>
      </c>
      <c r="L40" s="62" t="str">
        <f>IFERROR(__xludf.DUMMYFUNCTION("""COMPUTED_VALUE"""),"3 Hinox Guts")</f>
        <v>3 Hinox Guts</v>
      </c>
      <c r="M40" s="62"/>
      <c r="N40" s="62"/>
      <c r="O40" s="63"/>
      <c r="P40" s="62" t="str">
        <f>IFERROR(__xludf.DUMMYFUNCTION("iferror(SPLIT(Tracker!R41,CHAR(10)),"""")"),"3 Silver Boss Bokoblin Horn")</f>
        <v>3 Silver Boss Bokoblin Horn</v>
      </c>
      <c r="Q40" s="62" t="str">
        <f>IFERROR(__xludf.DUMMYFUNCTION("""COMPUTED_VALUE"""),"3 Molduga Guts")</f>
        <v>3 Molduga Guts</v>
      </c>
      <c r="R40" s="62" t="str">
        <f>IFERROR(__xludf.DUMMYFUNCTION("""COMPUTED_VALUE"""),"3 Gleeok Guts")</f>
        <v>3 Gleeok Guts</v>
      </c>
      <c r="S40" s="62"/>
      <c r="T40" s="63"/>
      <c r="U40" s="62" t="str">
        <f>IFERROR(__xludf.DUMMYFUNCTION("""COMPUTED_VALUE"""),"5 Bokoblin Horn")</f>
        <v>5 Bokoblin Horn</v>
      </c>
      <c r="V40" s="62">
        <f>IFERROR(__xludf.DUMMYFUNCTION("SPLIT(U40,"" "")"),5.0)</f>
        <v>5</v>
      </c>
      <c r="W40" s="62" t="str">
        <f>IFERROR(__xludf.DUMMYFUNCTION("""COMPUTED_VALUE"""),"Bokoblin")</f>
        <v>Bokoblin</v>
      </c>
      <c r="X40" s="62" t="str">
        <f>IFERROR(__xludf.DUMMYFUNCTION("""COMPUTED_VALUE"""),"Horn")</f>
        <v>Horn</v>
      </c>
      <c r="Y40" s="62"/>
      <c r="Z40" s="62"/>
      <c r="AA40" s="62"/>
      <c r="AB40" s="63"/>
      <c r="AC40" s="62" t="str">
        <f t="shared" si="2"/>
        <v>Bokoblin Horn</v>
      </c>
    </row>
    <row r="41">
      <c r="A41" s="62" t="str">
        <f>IFERROR(__xludf.DUMMYFUNCTION("iferror(SPLIT(Tracker!L42,CHAR(10)),"""")"),"3 Sticky Lizard")</f>
        <v>3 Sticky Lizard</v>
      </c>
      <c r="B41" s="62"/>
      <c r="C41" s="62"/>
      <c r="D41" s="62"/>
      <c r="E41" s="63"/>
      <c r="F41" s="62" t="str">
        <f>IFERROR(__xludf.DUMMYFUNCTION("iferror(SPLIT(Tracker!N42,CHAR(10)),"""")"),"5 Horriblin Horn")</f>
        <v>5 Horriblin Horn</v>
      </c>
      <c r="G41" s="62" t="str">
        <f>IFERROR(__xludf.DUMMYFUNCTION("""COMPUTED_VALUE"""),"5 Sticky Lizard")</f>
        <v>5 Sticky Lizard</v>
      </c>
      <c r="H41" s="62"/>
      <c r="I41" s="62"/>
      <c r="J41" s="63"/>
      <c r="K41" s="62" t="str">
        <f>IFERROR(__xludf.DUMMYFUNCTION("iferror(SPLIT(Tracker!P42,CHAR(10)),"""")"),"5 Blue Horriblin Horn")</f>
        <v>5 Blue Horriblin Horn</v>
      </c>
      <c r="L41" s="62" t="str">
        <f>IFERROR(__xludf.DUMMYFUNCTION("""COMPUTED_VALUE"""),"5 Sticky Frog")</f>
        <v>5 Sticky Frog</v>
      </c>
      <c r="M41" s="62"/>
      <c r="N41" s="62"/>
      <c r="O41" s="63"/>
      <c r="P41" s="62" t="str">
        <f>IFERROR(__xludf.DUMMYFUNCTION("iferror(SPLIT(Tracker!R42,CHAR(10)),"""")"),"5 Black Horriblin Horn")</f>
        <v>5 Black Horriblin Horn</v>
      </c>
      <c r="Q41" s="62" t="str">
        <f>IFERROR(__xludf.DUMMYFUNCTION("""COMPUTED_VALUE"""),"10 Horriblin Guts")</f>
        <v>10 Horriblin Guts</v>
      </c>
      <c r="R41" s="62" t="str">
        <f>IFERROR(__xludf.DUMMYFUNCTION("""COMPUTED_VALUE"""),"10 Opal")</f>
        <v>10 Opal</v>
      </c>
      <c r="S41" s="62"/>
      <c r="T41" s="63"/>
      <c r="U41" s="62" t="str">
        <f>IFERROR(__xludf.DUMMYFUNCTION("""COMPUTED_VALUE"""),"5 Blue Bokoblin Horn")</f>
        <v>5 Blue Bokoblin Horn</v>
      </c>
      <c r="V41" s="62">
        <f>IFERROR(__xludf.DUMMYFUNCTION("SPLIT(U41,"" "")"),5.0)</f>
        <v>5</v>
      </c>
      <c r="W41" s="62" t="str">
        <f>IFERROR(__xludf.DUMMYFUNCTION("""COMPUTED_VALUE"""),"Blue")</f>
        <v>Blue</v>
      </c>
      <c r="X41" s="62" t="str">
        <f>IFERROR(__xludf.DUMMYFUNCTION("""COMPUTED_VALUE"""),"Bokoblin")</f>
        <v>Bokoblin</v>
      </c>
      <c r="Y41" s="62" t="str">
        <f>IFERROR(__xludf.DUMMYFUNCTION("""COMPUTED_VALUE"""),"Horn")</f>
        <v>Horn</v>
      </c>
      <c r="Z41" s="62"/>
      <c r="AA41" s="62"/>
      <c r="AB41" s="63"/>
      <c r="AC41" s="62" t="str">
        <f t="shared" si="2"/>
        <v>Blue Bokoblin Horn</v>
      </c>
    </row>
    <row r="42">
      <c r="A42" s="62" t="str">
        <f>IFERROR(__xludf.DUMMYFUNCTION("iferror(SPLIT(Tracker!L43,CHAR(10)),"""")"),"3 Sticky Lizard")</f>
        <v>3 Sticky Lizard</v>
      </c>
      <c r="B42" s="62"/>
      <c r="C42" s="62"/>
      <c r="D42" s="62"/>
      <c r="E42" s="63"/>
      <c r="F42" s="62" t="str">
        <f>IFERROR(__xludf.DUMMYFUNCTION("iferror(SPLIT(Tracker!N43,CHAR(10)),"""")"),"5 Horriblin Horn")</f>
        <v>5 Horriblin Horn</v>
      </c>
      <c r="G42" s="62" t="str">
        <f>IFERROR(__xludf.DUMMYFUNCTION("""COMPUTED_VALUE"""),"5 Sticky Lizard")</f>
        <v>5 Sticky Lizard</v>
      </c>
      <c r="H42" s="62"/>
      <c r="I42" s="62"/>
      <c r="J42" s="63"/>
      <c r="K42" s="62" t="str">
        <f>IFERROR(__xludf.DUMMYFUNCTION("iferror(SPLIT(Tracker!P43,CHAR(10)),"""")"),"5 Blue Horriblin Horn")</f>
        <v>5 Blue Horriblin Horn</v>
      </c>
      <c r="L42" s="62" t="str">
        <f>IFERROR(__xludf.DUMMYFUNCTION("""COMPUTED_VALUE"""),"5 Sticky Frog")</f>
        <v>5 Sticky Frog</v>
      </c>
      <c r="M42" s="62"/>
      <c r="N42" s="62"/>
      <c r="O42" s="63"/>
      <c r="P42" s="62" t="str">
        <f>IFERROR(__xludf.DUMMYFUNCTION("iferror(SPLIT(Tracker!R43,CHAR(10)),"""")"),"5 Black Horriblin Horn")</f>
        <v>5 Black Horriblin Horn</v>
      </c>
      <c r="Q42" s="62" t="str">
        <f>IFERROR(__xludf.DUMMYFUNCTION("""COMPUTED_VALUE"""),"10 Horriblin Guts")</f>
        <v>10 Horriblin Guts</v>
      </c>
      <c r="R42" s="62" t="str">
        <f>IFERROR(__xludf.DUMMYFUNCTION("""COMPUTED_VALUE"""),"10 Opal")</f>
        <v>10 Opal</v>
      </c>
      <c r="S42" s="62"/>
      <c r="T42" s="63"/>
      <c r="U42" s="62" t="str">
        <f>IFERROR(__xludf.DUMMYFUNCTION("""COMPUTED_VALUE"""),"3 Bokoblin Fang")</f>
        <v>3 Bokoblin Fang</v>
      </c>
      <c r="V42" s="62">
        <f>IFERROR(__xludf.DUMMYFUNCTION("SPLIT(U42,"" "")"),3.0)</f>
        <v>3</v>
      </c>
      <c r="W42" s="62" t="str">
        <f>IFERROR(__xludf.DUMMYFUNCTION("""COMPUTED_VALUE"""),"Bokoblin")</f>
        <v>Bokoblin</v>
      </c>
      <c r="X42" s="62" t="str">
        <f>IFERROR(__xludf.DUMMYFUNCTION("""COMPUTED_VALUE"""),"Fang")</f>
        <v>Fang</v>
      </c>
      <c r="Y42" s="62"/>
      <c r="Z42" s="62"/>
      <c r="AA42" s="62"/>
      <c r="AB42" s="63"/>
      <c r="AC42" s="62" t="str">
        <f t="shared" si="2"/>
        <v>Bokoblin Fang</v>
      </c>
    </row>
    <row r="43">
      <c r="A43" s="62" t="str">
        <f>IFERROR(__xludf.DUMMYFUNCTION("iferror(SPLIT(Tracker!L44,CHAR(10)),"""")"),"3 Sticky Lizard")</f>
        <v>3 Sticky Lizard</v>
      </c>
      <c r="B43" s="62"/>
      <c r="C43" s="62"/>
      <c r="D43" s="62"/>
      <c r="E43" s="63"/>
      <c r="F43" s="62" t="str">
        <f>IFERROR(__xludf.DUMMYFUNCTION("iferror(SPLIT(Tracker!N44,CHAR(10)),"""")"),"5 Horriblin Horn")</f>
        <v>5 Horriblin Horn</v>
      </c>
      <c r="G43" s="62" t="str">
        <f>IFERROR(__xludf.DUMMYFUNCTION("""COMPUTED_VALUE"""),"5 Sticky Lizard")</f>
        <v>5 Sticky Lizard</v>
      </c>
      <c r="H43" s="62"/>
      <c r="I43" s="62"/>
      <c r="J43" s="63"/>
      <c r="K43" s="62" t="str">
        <f>IFERROR(__xludf.DUMMYFUNCTION("iferror(SPLIT(Tracker!P44,CHAR(10)),"""")"),"5 Blue Horriblin Horn")</f>
        <v>5 Blue Horriblin Horn</v>
      </c>
      <c r="L43" s="62" t="str">
        <f>IFERROR(__xludf.DUMMYFUNCTION("""COMPUTED_VALUE"""),"5 Sticky Frog")</f>
        <v>5 Sticky Frog</v>
      </c>
      <c r="M43" s="62"/>
      <c r="N43" s="62"/>
      <c r="O43" s="63"/>
      <c r="P43" s="62" t="str">
        <f>IFERROR(__xludf.DUMMYFUNCTION("iferror(SPLIT(Tracker!R44,CHAR(10)),"""")"),"5 Black Horriblin Horn")</f>
        <v>5 Black Horriblin Horn</v>
      </c>
      <c r="Q43" s="62" t="str">
        <f>IFERROR(__xludf.DUMMYFUNCTION("""COMPUTED_VALUE"""),"10 Horriblin Guts")</f>
        <v>10 Horriblin Guts</v>
      </c>
      <c r="R43" s="62" t="str">
        <f>IFERROR(__xludf.DUMMYFUNCTION("""COMPUTED_VALUE"""),"10 Opal")</f>
        <v>10 Opal</v>
      </c>
      <c r="S43" s="62"/>
      <c r="T43" s="63"/>
      <c r="U43" s="62" t="str">
        <f>IFERROR(__xludf.DUMMYFUNCTION("""COMPUTED_VALUE"""),"5 Black Bokoblin Horn")</f>
        <v>5 Black Bokoblin Horn</v>
      </c>
      <c r="V43" s="62">
        <f>IFERROR(__xludf.DUMMYFUNCTION("SPLIT(U43,"" "")"),5.0)</f>
        <v>5</v>
      </c>
      <c r="W43" s="62" t="str">
        <f>IFERROR(__xludf.DUMMYFUNCTION("""COMPUTED_VALUE"""),"Black")</f>
        <v>Black</v>
      </c>
      <c r="X43" s="62" t="str">
        <f>IFERROR(__xludf.DUMMYFUNCTION("""COMPUTED_VALUE"""),"Bokoblin")</f>
        <v>Bokoblin</v>
      </c>
      <c r="Y43" s="62" t="str">
        <f>IFERROR(__xludf.DUMMYFUNCTION("""COMPUTED_VALUE"""),"Horn")</f>
        <v>Horn</v>
      </c>
      <c r="Z43" s="62"/>
      <c r="AA43" s="62"/>
      <c r="AB43" s="63"/>
      <c r="AC43" s="62" t="str">
        <f t="shared" si="2"/>
        <v>Black Bokoblin Horn</v>
      </c>
    </row>
    <row r="44">
      <c r="A44" s="62" t="str">
        <f>IFERROR(__xludf.DUMMYFUNCTION("iferror(SPLIT(Tracker!L45,CHAR(10)),"""")"),"3 Keese Wing")</f>
        <v>3 Keese Wing</v>
      </c>
      <c r="B44" s="62"/>
      <c r="C44" s="62"/>
      <c r="D44" s="62"/>
      <c r="E44" s="63"/>
      <c r="F44" s="62" t="str">
        <f>IFERROR(__xludf.DUMMYFUNCTION("iferror(SPLIT(Tracker!N45,CHAR(10)),"""")"),"6 Aerocuda Eyeball")</f>
        <v>6 Aerocuda Eyeball</v>
      </c>
      <c r="G44" s="62" t="str">
        <f>IFERROR(__xludf.DUMMYFUNCTION("""COMPUTED_VALUE"""),"5 Keese Wing")</f>
        <v>5 Keese Wing</v>
      </c>
      <c r="H44" s="62"/>
      <c r="I44" s="62"/>
      <c r="J44" s="63"/>
      <c r="K44" s="62" t="str">
        <f>IFERROR(__xludf.DUMMYFUNCTION("iferror(SPLIT(Tracker!P45,CHAR(10)),"""")"),"6 Aerocuda Wing")</f>
        <v>6 Aerocuda Wing</v>
      </c>
      <c r="L44" s="62" t="str">
        <f>IFERROR(__xludf.DUMMYFUNCTION("""COMPUTED_VALUE"""),"8 Aerocuda Eyeball")</f>
        <v>8 Aerocuda Eyeball</v>
      </c>
      <c r="M44" s="62"/>
      <c r="N44" s="62"/>
      <c r="O44" s="63"/>
      <c r="P44" s="62" t="str">
        <f>IFERROR(__xludf.DUMMYFUNCTION("iferror(SPLIT(Tracker!R45,CHAR(10)),"""")"),"12 Gleeok Wing")</f>
        <v>12 Gleeok Wing</v>
      </c>
      <c r="Q44" s="62" t="str">
        <f>IFERROR(__xludf.DUMMYFUNCTION("""COMPUTED_VALUE"""),"10 Aerocuda Wing")</f>
        <v>10 Aerocuda Wing</v>
      </c>
      <c r="R44" s="62" t="str">
        <f>IFERROR(__xludf.DUMMYFUNCTION("""COMPUTED_VALUE"""),"8 Gibdo Wing")</f>
        <v>8 Gibdo Wing</v>
      </c>
      <c r="S44" s="62"/>
      <c r="T44" s="63"/>
      <c r="U44" s="62" t="str">
        <f>IFERROR(__xludf.DUMMYFUNCTION("""COMPUTED_VALUE"""),"3 Bokoblin Guts")</f>
        <v>3 Bokoblin Guts</v>
      </c>
      <c r="V44" s="62">
        <f>IFERROR(__xludf.DUMMYFUNCTION("SPLIT(U44,"" "")"),3.0)</f>
        <v>3</v>
      </c>
      <c r="W44" s="62" t="str">
        <f>IFERROR(__xludf.DUMMYFUNCTION("""COMPUTED_VALUE"""),"Bokoblin")</f>
        <v>Bokoblin</v>
      </c>
      <c r="X44" s="62" t="str">
        <f>IFERROR(__xludf.DUMMYFUNCTION("""COMPUTED_VALUE"""),"Guts")</f>
        <v>Guts</v>
      </c>
      <c r="Y44" s="62"/>
      <c r="Z44" s="62"/>
      <c r="AA44" s="62"/>
      <c r="AB44" s="63"/>
      <c r="AC44" s="62" t="str">
        <f t="shared" si="2"/>
        <v>Bokoblin Guts</v>
      </c>
    </row>
    <row r="45">
      <c r="A45" s="62" t="str">
        <f>IFERROR(__xludf.DUMMYFUNCTION("iferror(SPLIT(Tracker!L46,CHAR(10)),"""")"),"3 Keese Wing")</f>
        <v>3 Keese Wing</v>
      </c>
      <c r="B45" s="62"/>
      <c r="C45" s="62"/>
      <c r="D45" s="62"/>
      <c r="E45" s="63"/>
      <c r="F45" s="62" t="str">
        <f>IFERROR(__xludf.DUMMYFUNCTION("iferror(SPLIT(Tracker!N46,CHAR(10)),"""")"),"6 Aerocuda Eyeball")</f>
        <v>6 Aerocuda Eyeball</v>
      </c>
      <c r="G45" s="62" t="str">
        <f>IFERROR(__xludf.DUMMYFUNCTION("""COMPUTED_VALUE"""),"5 Keese Wing")</f>
        <v>5 Keese Wing</v>
      </c>
      <c r="H45" s="62"/>
      <c r="I45" s="62"/>
      <c r="J45" s="63"/>
      <c r="K45" s="62" t="str">
        <f>IFERROR(__xludf.DUMMYFUNCTION("iferror(SPLIT(Tracker!P46,CHAR(10)),"""")"),"6 Aerocuda Wing")</f>
        <v>6 Aerocuda Wing</v>
      </c>
      <c r="L45" s="62" t="str">
        <f>IFERROR(__xludf.DUMMYFUNCTION("""COMPUTED_VALUE"""),"8 Aerocuda Eyeball")</f>
        <v>8 Aerocuda Eyeball</v>
      </c>
      <c r="M45" s="62"/>
      <c r="N45" s="62"/>
      <c r="O45" s="63"/>
      <c r="P45" s="62" t="str">
        <f>IFERROR(__xludf.DUMMYFUNCTION("iferror(SPLIT(Tracker!R46,CHAR(10)),"""")"),"12 Gleeok Wing")</f>
        <v>12 Gleeok Wing</v>
      </c>
      <c r="Q45" s="62" t="str">
        <f>IFERROR(__xludf.DUMMYFUNCTION("""COMPUTED_VALUE"""),"10 Aerocuda Wing")</f>
        <v>10 Aerocuda Wing</v>
      </c>
      <c r="R45" s="62" t="str">
        <f>IFERROR(__xludf.DUMMYFUNCTION("""COMPUTED_VALUE"""),"8 Gibdo Wing")</f>
        <v>8 Gibdo Wing</v>
      </c>
      <c r="S45" s="62"/>
      <c r="T45" s="63"/>
      <c r="U45" s="62" t="str">
        <f>IFERROR(__xludf.DUMMYFUNCTION("""COMPUTED_VALUE"""),"20 Amber")</f>
        <v>20 Amber</v>
      </c>
      <c r="V45" s="62">
        <f>IFERROR(__xludf.DUMMYFUNCTION("SPLIT(U45,"" "")"),20.0)</f>
        <v>20</v>
      </c>
      <c r="W45" s="62" t="str">
        <f>IFERROR(__xludf.DUMMYFUNCTION("""COMPUTED_VALUE"""),"Amber")</f>
        <v>Amber</v>
      </c>
      <c r="X45" s="62"/>
      <c r="Y45" s="62"/>
      <c r="Z45" s="62"/>
      <c r="AA45" s="62"/>
      <c r="AB45" s="63"/>
      <c r="AC45" s="62" t="str">
        <f t="shared" si="2"/>
        <v>Amber</v>
      </c>
    </row>
    <row r="46">
      <c r="A46" s="62" t="str">
        <f>IFERROR(__xludf.DUMMYFUNCTION("iferror(SPLIT(Tracker!L47,CHAR(10)),"""")"),"3 Keese Wing")</f>
        <v>3 Keese Wing</v>
      </c>
      <c r="B46" s="62"/>
      <c r="C46" s="62"/>
      <c r="D46" s="62"/>
      <c r="E46" s="63"/>
      <c r="F46" s="62" t="str">
        <f>IFERROR(__xludf.DUMMYFUNCTION("iferror(SPLIT(Tracker!N47,CHAR(10)),"""")"),"6 Aerocuda Eyeball")</f>
        <v>6 Aerocuda Eyeball</v>
      </c>
      <c r="G46" s="62" t="str">
        <f>IFERROR(__xludf.DUMMYFUNCTION("""COMPUTED_VALUE"""),"5 Keese Wing")</f>
        <v>5 Keese Wing</v>
      </c>
      <c r="H46" s="62"/>
      <c r="I46" s="62"/>
      <c r="J46" s="63"/>
      <c r="K46" s="62" t="str">
        <f>IFERROR(__xludf.DUMMYFUNCTION("iferror(SPLIT(Tracker!P47,CHAR(10)),"""")"),"6 Aerocuda Wing")</f>
        <v>6 Aerocuda Wing</v>
      </c>
      <c r="L46" s="62" t="str">
        <f>IFERROR(__xludf.DUMMYFUNCTION("""COMPUTED_VALUE"""),"8 Aerocuda Eyeball")</f>
        <v>8 Aerocuda Eyeball</v>
      </c>
      <c r="M46" s="62"/>
      <c r="N46" s="62"/>
      <c r="O46" s="63"/>
      <c r="P46" s="62" t="str">
        <f>IFERROR(__xludf.DUMMYFUNCTION("iferror(SPLIT(Tracker!R47,CHAR(10)),"""")"),"12 Gleeok Wing")</f>
        <v>12 Gleeok Wing</v>
      </c>
      <c r="Q46" s="62" t="str">
        <f>IFERROR(__xludf.DUMMYFUNCTION("""COMPUTED_VALUE"""),"10 Aerocuda Wing")</f>
        <v>10 Aerocuda Wing</v>
      </c>
      <c r="R46" s="62" t="str">
        <f>IFERROR(__xludf.DUMMYFUNCTION("""COMPUTED_VALUE"""),"8 Gibdo Wing")</f>
        <v>8 Gibdo Wing</v>
      </c>
      <c r="S46" s="62"/>
      <c r="T46" s="63"/>
      <c r="U46" s="62" t="str">
        <f>IFERROR(__xludf.DUMMYFUNCTION("""COMPUTED_VALUE"""),"5 Silver Bokoblin Horn")</f>
        <v>5 Silver Bokoblin Horn</v>
      </c>
      <c r="V46" s="62">
        <f>IFERROR(__xludf.DUMMYFUNCTION("SPLIT(U46,"" "")"),5.0)</f>
        <v>5</v>
      </c>
      <c r="W46" s="62" t="str">
        <f>IFERROR(__xludf.DUMMYFUNCTION("""COMPUTED_VALUE"""),"Silver")</f>
        <v>Silver</v>
      </c>
      <c r="X46" s="62" t="str">
        <f>IFERROR(__xludf.DUMMYFUNCTION("""COMPUTED_VALUE"""),"Bokoblin")</f>
        <v>Bokoblin</v>
      </c>
      <c r="Y46" s="62" t="str">
        <f>IFERROR(__xludf.DUMMYFUNCTION("""COMPUTED_VALUE"""),"Horn")</f>
        <v>Horn</v>
      </c>
      <c r="Z46" s="62"/>
      <c r="AA46" s="62"/>
      <c r="AB46" s="63"/>
      <c r="AC46" s="62" t="str">
        <f t="shared" si="2"/>
        <v>Silver Bokoblin Horn</v>
      </c>
    </row>
    <row r="47">
      <c r="A47" s="62" t="str">
        <f>IFERROR(__xludf.DUMMYFUNCTION("iferror(SPLIT(Tracker!L48,CHAR(10)),"""")"),"3 Deep Firefly")</f>
        <v>3 Deep Firefly</v>
      </c>
      <c r="B47" s="62"/>
      <c r="C47" s="62"/>
      <c r="D47" s="62"/>
      <c r="E47" s="63"/>
      <c r="F47" s="62" t="str">
        <f>IFERROR(__xludf.DUMMYFUNCTION("iferror(SPLIT(Tracker!N48,CHAR(10)),"""")"),"3 Frox Fang")</f>
        <v>3 Frox Fang</v>
      </c>
      <c r="G47" s="62" t="str">
        <f>IFERROR(__xludf.DUMMYFUNCTION("""COMPUTED_VALUE"""),"5 Dark Clump")</f>
        <v>5 Dark Clump</v>
      </c>
      <c r="H47" s="62"/>
      <c r="I47" s="62"/>
      <c r="J47" s="63"/>
      <c r="K47" s="62" t="str">
        <f>IFERROR(__xludf.DUMMYFUNCTION("iferror(SPLIT(Tracker!P48,CHAR(10)),"""")"),"3 Obsidian Frox Fang")</f>
        <v>3 Obsidian Frox Fang</v>
      </c>
      <c r="L47" s="62" t="str">
        <f>IFERROR(__xludf.DUMMYFUNCTION("""COMPUTED_VALUE"""),"20 Zonaite")</f>
        <v>20 Zonaite</v>
      </c>
      <c r="M47" s="62" t="str">
        <f>IFERROR(__xludf.DUMMYFUNCTION("""COMPUTED_VALUE"""),"3 Frox Fingernail")</f>
        <v>3 Frox Fingernail</v>
      </c>
      <c r="N47" s="62"/>
      <c r="O47" s="63"/>
      <c r="P47" s="62" t="str">
        <f>IFERROR(__xludf.DUMMYFUNCTION("iferror(SPLIT(Tracker!R48,CHAR(10)),"""")"),"5 Blue-White Frox Fang")</f>
        <v>5 Blue-White Frox Fang</v>
      </c>
      <c r="Q47" s="62" t="str">
        <f>IFERROR(__xludf.DUMMYFUNCTION("""COMPUTED_VALUE"""),"10 Large Zonaite")</f>
        <v>10 Large Zonaite</v>
      </c>
      <c r="R47" s="62" t="str">
        <f>IFERROR(__xludf.DUMMYFUNCTION("""COMPUTED_VALUE"""),"3 Frox Guts")</f>
        <v>3 Frox Guts</v>
      </c>
      <c r="S47" s="62"/>
      <c r="T47" s="63"/>
      <c r="U47" s="62" t="str">
        <f>IFERROR(__xludf.DUMMYFUNCTION("""COMPUTED_VALUE"""),"5 Bokoblin Guts")</f>
        <v>5 Bokoblin Guts</v>
      </c>
      <c r="V47" s="62">
        <f>IFERROR(__xludf.DUMMYFUNCTION("SPLIT(U47,"" "")"),5.0)</f>
        <v>5</v>
      </c>
      <c r="W47" s="62" t="str">
        <f>IFERROR(__xludf.DUMMYFUNCTION("""COMPUTED_VALUE"""),"Bokoblin")</f>
        <v>Bokoblin</v>
      </c>
      <c r="X47" s="62" t="str">
        <f>IFERROR(__xludf.DUMMYFUNCTION("""COMPUTED_VALUE"""),"Guts")</f>
        <v>Guts</v>
      </c>
      <c r="Y47" s="62"/>
      <c r="Z47" s="62"/>
      <c r="AA47" s="62"/>
      <c r="AB47" s="63"/>
      <c r="AC47" s="62" t="str">
        <f t="shared" si="2"/>
        <v>Bokoblin Guts</v>
      </c>
    </row>
    <row r="48">
      <c r="A48" s="62" t="str">
        <f>IFERROR(__xludf.DUMMYFUNCTION("iferror(SPLIT(Tracker!L49,CHAR(10)),"""")"),"3 Deep Firefly")</f>
        <v>3 Deep Firefly</v>
      </c>
      <c r="B48" s="62"/>
      <c r="C48" s="62"/>
      <c r="D48" s="62"/>
      <c r="E48" s="63"/>
      <c r="F48" s="62" t="str">
        <f>IFERROR(__xludf.DUMMYFUNCTION("iferror(SPLIT(Tracker!N49,CHAR(10)),"""")"),"3 Frox Fang")</f>
        <v>3 Frox Fang</v>
      </c>
      <c r="G48" s="62" t="str">
        <f>IFERROR(__xludf.DUMMYFUNCTION("""COMPUTED_VALUE"""),"5 Dark Clump")</f>
        <v>5 Dark Clump</v>
      </c>
      <c r="H48" s="62"/>
      <c r="I48" s="62"/>
      <c r="J48" s="63"/>
      <c r="K48" s="62" t="str">
        <f>IFERROR(__xludf.DUMMYFUNCTION("iferror(SPLIT(Tracker!P49,CHAR(10)),"""")"),"3 Obsidian Frox Fang")</f>
        <v>3 Obsidian Frox Fang</v>
      </c>
      <c r="L48" s="62" t="str">
        <f>IFERROR(__xludf.DUMMYFUNCTION("""COMPUTED_VALUE"""),"20 Zonaite")</f>
        <v>20 Zonaite</v>
      </c>
      <c r="M48" s="62" t="str">
        <f>IFERROR(__xludf.DUMMYFUNCTION("""COMPUTED_VALUE"""),"3 Frox Fingernail")</f>
        <v>3 Frox Fingernail</v>
      </c>
      <c r="N48" s="62"/>
      <c r="O48" s="63"/>
      <c r="P48" s="62" t="str">
        <f>IFERROR(__xludf.DUMMYFUNCTION("iferror(SPLIT(Tracker!R49,CHAR(10)),"""")"),"5 Blue-White Frox Fang")</f>
        <v>5 Blue-White Frox Fang</v>
      </c>
      <c r="Q48" s="62" t="str">
        <f>IFERROR(__xludf.DUMMYFUNCTION("""COMPUTED_VALUE"""),"10 Large Zonaite")</f>
        <v>10 Large Zonaite</v>
      </c>
      <c r="R48" s="62" t="str">
        <f>IFERROR(__xludf.DUMMYFUNCTION("""COMPUTED_VALUE"""),"3 Frox Guts")</f>
        <v>3 Frox Guts</v>
      </c>
      <c r="S48" s="62"/>
      <c r="T48" s="63"/>
      <c r="U48" s="62" t="str">
        <f>IFERROR(__xludf.DUMMYFUNCTION("""COMPUTED_VALUE"""),"30 Amber")</f>
        <v>30 Amber</v>
      </c>
      <c r="V48" s="62">
        <f>IFERROR(__xludf.DUMMYFUNCTION("SPLIT(U48,"" "")"),30.0)</f>
        <v>30</v>
      </c>
      <c r="W48" s="62" t="str">
        <f>IFERROR(__xludf.DUMMYFUNCTION("""COMPUTED_VALUE"""),"Amber")</f>
        <v>Amber</v>
      </c>
      <c r="X48" s="62"/>
      <c r="Y48" s="62"/>
      <c r="Z48" s="62"/>
      <c r="AA48" s="62"/>
      <c r="AB48" s="63"/>
      <c r="AC48" s="62" t="str">
        <f t="shared" si="2"/>
        <v>Amber</v>
      </c>
    </row>
    <row r="49">
      <c r="A49" s="62" t="str">
        <f>IFERROR(__xludf.DUMMYFUNCTION("iferror(SPLIT(Tracker!L50,CHAR(10)),"""")"),"3 Deep Firefly")</f>
        <v>3 Deep Firefly</v>
      </c>
      <c r="B49" s="62"/>
      <c r="C49" s="62"/>
      <c r="D49" s="62"/>
      <c r="E49" s="63"/>
      <c r="F49" s="62" t="str">
        <f>IFERROR(__xludf.DUMMYFUNCTION("iferror(SPLIT(Tracker!N50,CHAR(10)),"""")"),"3 Frox Fang")</f>
        <v>3 Frox Fang</v>
      </c>
      <c r="G49" s="62" t="str">
        <f>IFERROR(__xludf.DUMMYFUNCTION("""COMPUTED_VALUE"""),"5 Dark Clump")</f>
        <v>5 Dark Clump</v>
      </c>
      <c r="H49" s="62"/>
      <c r="I49" s="62"/>
      <c r="J49" s="63"/>
      <c r="K49" s="62" t="str">
        <f>IFERROR(__xludf.DUMMYFUNCTION("iferror(SPLIT(Tracker!P50,CHAR(10)),"""")"),"3 Obsidian Frox Fang")</f>
        <v>3 Obsidian Frox Fang</v>
      </c>
      <c r="L49" s="62" t="str">
        <f>IFERROR(__xludf.DUMMYFUNCTION("""COMPUTED_VALUE"""),"20 Zonaite")</f>
        <v>20 Zonaite</v>
      </c>
      <c r="M49" s="62" t="str">
        <f>IFERROR(__xludf.DUMMYFUNCTION("""COMPUTED_VALUE"""),"3 Frox Fingernail")</f>
        <v>3 Frox Fingernail</v>
      </c>
      <c r="N49" s="62"/>
      <c r="O49" s="63"/>
      <c r="P49" s="62" t="str">
        <f>IFERROR(__xludf.DUMMYFUNCTION("iferror(SPLIT(Tracker!R50,CHAR(10)),"""")"),"5 Blue-White Frox Fang")</f>
        <v>5 Blue-White Frox Fang</v>
      </c>
      <c r="Q49" s="62" t="str">
        <f>IFERROR(__xludf.DUMMYFUNCTION("""COMPUTED_VALUE"""),"10 Large Zonaite")</f>
        <v>10 Large Zonaite</v>
      </c>
      <c r="R49" s="62" t="str">
        <f>IFERROR(__xludf.DUMMYFUNCTION("""COMPUTED_VALUE"""),"3 Frox Guts")</f>
        <v>3 Frox Guts</v>
      </c>
      <c r="S49" s="62"/>
      <c r="T49" s="63"/>
      <c r="U49" s="62" t="str">
        <f>IFERROR(__xludf.DUMMYFUNCTION("""COMPUTED_VALUE"""),"5 Chuchu Jelly")</f>
        <v>5 Chuchu Jelly</v>
      </c>
      <c r="V49" s="62">
        <f>IFERROR(__xludf.DUMMYFUNCTION("SPLIT(U49,"" "")"),5.0)</f>
        <v>5</v>
      </c>
      <c r="W49" s="62" t="str">
        <f>IFERROR(__xludf.DUMMYFUNCTION("""COMPUTED_VALUE"""),"Chuchu")</f>
        <v>Chuchu</v>
      </c>
      <c r="X49" s="62" t="str">
        <f>IFERROR(__xludf.DUMMYFUNCTION("""COMPUTED_VALUE"""),"Jelly")</f>
        <v>Jelly</v>
      </c>
      <c r="Y49" s="62"/>
      <c r="Z49" s="62"/>
      <c r="AA49" s="62"/>
      <c r="AB49" s="63"/>
      <c r="AC49" s="62" t="str">
        <f t="shared" si="2"/>
        <v>Chuchu Jelly</v>
      </c>
    </row>
    <row r="50">
      <c r="A50" s="62" t="str">
        <f>IFERROR(__xludf.DUMMYFUNCTION("iferror(SPLIT(Tracker!L51,CHAR(10)),"""")"),"10 Brightbloom Seed")</f>
        <v>10 Brightbloom Seed</v>
      </c>
      <c r="B50" s="62"/>
      <c r="C50" s="62"/>
      <c r="D50" s="62"/>
      <c r="E50" s="63"/>
      <c r="F50" s="62" t="str">
        <f>IFERROR(__xludf.DUMMYFUNCTION("iferror(SPLIT(Tracker!N51,CHAR(10)),"""")"),"20 Brightbloom Seed")</f>
        <v>20 Brightbloom Seed</v>
      </c>
      <c r="G50" s="62" t="str">
        <f>IFERROR(__xludf.DUMMYFUNCTION("""COMPUTED_VALUE"""),"5 Brightcap")</f>
        <v>5 Brightcap</v>
      </c>
      <c r="H50" s="62"/>
      <c r="I50" s="62"/>
      <c r="J50" s="63"/>
      <c r="K50" s="62" t="str">
        <f>IFERROR(__xludf.DUMMYFUNCTION("iferror(SPLIT(Tracker!P51,CHAR(10)),"""")"),"15 Giant Brightbloom Seed")</f>
        <v>15 Giant Brightbloom Seed</v>
      </c>
      <c r="L50" s="62" t="str">
        <f>IFERROR(__xludf.DUMMYFUNCTION("""COMPUTED_VALUE"""),"5 Glowing Cave Fish")</f>
        <v>5 Glowing Cave Fish</v>
      </c>
      <c r="M50" s="62" t="str">
        <f>IFERROR(__xludf.DUMMYFUNCTION("""COMPUTED_VALUE"""),"10 Deep Firefly")</f>
        <v>10 Deep Firefly</v>
      </c>
      <c r="N50" s="62"/>
      <c r="O50" s="63"/>
      <c r="P50" s="62" t="str">
        <f>IFERROR(__xludf.DUMMYFUNCTION("iferror(SPLIT(Tracker!R51,CHAR(10)),"""")"),"20 Giant Brightbloom Seed")</f>
        <v>20 Giant Brightbloom Seed</v>
      </c>
      <c r="Q50" s="62" t="str">
        <f>IFERROR(__xludf.DUMMYFUNCTION("""COMPUTED_VALUE"""),"3 Diamond")</f>
        <v>3 Diamond</v>
      </c>
      <c r="R50" s="62" t="str">
        <f>IFERROR(__xludf.DUMMYFUNCTION("""COMPUTED_VALUE"""),"10 Large Zonaite")</f>
        <v>10 Large Zonaite</v>
      </c>
      <c r="S50" s="62"/>
      <c r="T50" s="63"/>
      <c r="U50" s="62" t="str">
        <f>IFERROR(__xludf.DUMMYFUNCTION("""COMPUTED_VALUE"""),"3 Bokoblin Guts")</f>
        <v>3 Bokoblin Guts</v>
      </c>
      <c r="V50" s="62">
        <f>IFERROR(__xludf.DUMMYFUNCTION("SPLIT(U50,"" "")"),3.0)</f>
        <v>3</v>
      </c>
      <c r="W50" s="62" t="str">
        <f>IFERROR(__xludf.DUMMYFUNCTION("""COMPUTED_VALUE"""),"Bokoblin")</f>
        <v>Bokoblin</v>
      </c>
      <c r="X50" s="62" t="str">
        <f>IFERROR(__xludf.DUMMYFUNCTION("""COMPUTED_VALUE"""),"Guts")</f>
        <v>Guts</v>
      </c>
      <c r="Y50" s="62"/>
      <c r="Z50" s="62"/>
      <c r="AA50" s="62"/>
      <c r="AB50" s="63"/>
      <c r="AC50" s="62" t="str">
        <f t="shared" si="2"/>
        <v>Bokoblin Guts</v>
      </c>
    </row>
    <row r="51">
      <c r="A51" s="62" t="str">
        <f>IFERROR(__xludf.DUMMYFUNCTION("iferror(SPLIT(Tracker!L52,CHAR(10)),"""")"),"10 Brightbloom Seed")</f>
        <v>10 Brightbloom Seed</v>
      </c>
      <c r="B51" s="62"/>
      <c r="C51" s="62"/>
      <c r="D51" s="62"/>
      <c r="E51" s="63"/>
      <c r="F51" s="62" t="str">
        <f>IFERROR(__xludf.DUMMYFUNCTION("iferror(SPLIT(Tracker!N52,CHAR(10)),"""")"),"20 Brightbloom Seed")</f>
        <v>20 Brightbloom Seed</v>
      </c>
      <c r="G51" s="62" t="str">
        <f>IFERROR(__xludf.DUMMYFUNCTION("""COMPUTED_VALUE"""),"5 Brightcap")</f>
        <v>5 Brightcap</v>
      </c>
      <c r="H51" s="62"/>
      <c r="I51" s="62"/>
      <c r="J51" s="63"/>
      <c r="K51" s="62" t="str">
        <f>IFERROR(__xludf.DUMMYFUNCTION("iferror(SPLIT(Tracker!P52,CHAR(10)),"""")"),"15 Giant Brightbloom Seed")</f>
        <v>15 Giant Brightbloom Seed</v>
      </c>
      <c r="L51" s="62" t="str">
        <f>IFERROR(__xludf.DUMMYFUNCTION("""COMPUTED_VALUE"""),"5 Glowing Cave Fish")</f>
        <v>5 Glowing Cave Fish</v>
      </c>
      <c r="M51" s="62" t="str">
        <f>IFERROR(__xludf.DUMMYFUNCTION("""COMPUTED_VALUE"""),"10 Deep Firefly")</f>
        <v>10 Deep Firefly</v>
      </c>
      <c r="N51" s="62"/>
      <c r="O51" s="63"/>
      <c r="P51" s="62" t="str">
        <f>IFERROR(__xludf.DUMMYFUNCTION("iferror(SPLIT(Tracker!R52,CHAR(10)),"""")"),"20 Giant Brightbloom Seed")</f>
        <v>20 Giant Brightbloom Seed</v>
      </c>
      <c r="Q51" s="62" t="str">
        <f>IFERROR(__xludf.DUMMYFUNCTION("""COMPUTED_VALUE"""),"3 Diamond")</f>
        <v>3 Diamond</v>
      </c>
      <c r="R51" s="62" t="str">
        <f>IFERROR(__xludf.DUMMYFUNCTION("""COMPUTED_VALUE"""),"10 Large Zonaite")</f>
        <v>10 Large Zonaite</v>
      </c>
      <c r="S51" s="62"/>
      <c r="T51" s="63"/>
      <c r="U51" s="62" t="str">
        <f>IFERROR(__xludf.DUMMYFUNCTION("""COMPUTED_VALUE"""),"5 Keese Eyeball")</f>
        <v>5 Keese Eyeball</v>
      </c>
      <c r="V51" s="62">
        <f>IFERROR(__xludf.DUMMYFUNCTION("SPLIT(U51,"" "")"),5.0)</f>
        <v>5</v>
      </c>
      <c r="W51" s="62" t="str">
        <f>IFERROR(__xludf.DUMMYFUNCTION("""COMPUTED_VALUE"""),"Keese")</f>
        <v>Keese</v>
      </c>
      <c r="X51" s="62" t="str">
        <f>IFERROR(__xludf.DUMMYFUNCTION("""COMPUTED_VALUE"""),"Eyeball")</f>
        <v>Eyeball</v>
      </c>
      <c r="Y51" s="62"/>
      <c r="Z51" s="62"/>
      <c r="AA51" s="62"/>
      <c r="AB51" s="63"/>
      <c r="AC51" s="62" t="str">
        <f t="shared" si="2"/>
        <v>Keese Eyeball</v>
      </c>
    </row>
    <row r="52">
      <c r="A52" s="62" t="str">
        <f>IFERROR(__xludf.DUMMYFUNCTION("iferror(SPLIT(Tracker!L53,CHAR(10)),"""")"),"10 Brightbloom Seed")</f>
        <v>10 Brightbloom Seed</v>
      </c>
      <c r="B52" s="62"/>
      <c r="C52" s="62"/>
      <c r="D52" s="62"/>
      <c r="E52" s="63"/>
      <c r="F52" s="62" t="str">
        <f>IFERROR(__xludf.DUMMYFUNCTION("iferror(SPLIT(Tracker!N53,CHAR(10)),"""")"),"20 Brightbloom Seed")</f>
        <v>20 Brightbloom Seed</v>
      </c>
      <c r="G52" s="62" t="str">
        <f>IFERROR(__xludf.DUMMYFUNCTION("""COMPUTED_VALUE"""),"5 Brightcap")</f>
        <v>5 Brightcap</v>
      </c>
      <c r="H52" s="62"/>
      <c r="I52" s="62"/>
      <c r="J52" s="63"/>
      <c r="K52" s="62" t="str">
        <f>IFERROR(__xludf.DUMMYFUNCTION("iferror(SPLIT(Tracker!P53,CHAR(10)),"""")"),"15 Giant Brightbloom Seed")</f>
        <v>15 Giant Brightbloom Seed</v>
      </c>
      <c r="L52" s="62" t="str">
        <f>IFERROR(__xludf.DUMMYFUNCTION("""COMPUTED_VALUE"""),"5 Glowing Cave Fish")</f>
        <v>5 Glowing Cave Fish</v>
      </c>
      <c r="M52" s="62" t="str">
        <f>IFERROR(__xludf.DUMMYFUNCTION("""COMPUTED_VALUE"""),"10 Deep Firefly")</f>
        <v>10 Deep Firefly</v>
      </c>
      <c r="N52" s="62"/>
      <c r="O52" s="63"/>
      <c r="P52" s="62" t="str">
        <f>IFERROR(__xludf.DUMMYFUNCTION("iferror(SPLIT(Tracker!R53,CHAR(10)),"""")"),"20 Giant Brightbloom Seed")</f>
        <v>20 Giant Brightbloom Seed</v>
      </c>
      <c r="Q52" s="62" t="str">
        <f>IFERROR(__xludf.DUMMYFUNCTION("""COMPUTED_VALUE"""),"3 Diamond")</f>
        <v>3 Diamond</v>
      </c>
      <c r="R52" s="62" t="str">
        <f>IFERROR(__xludf.DUMMYFUNCTION("""COMPUTED_VALUE"""),"10 Large Zonaite")</f>
        <v>10 Large Zonaite</v>
      </c>
      <c r="S52" s="62"/>
      <c r="T52" s="63"/>
      <c r="U52" s="62" t="str">
        <f>IFERROR(__xludf.DUMMYFUNCTION("""COMPUTED_VALUE"""),"3 Moblin Guts")</f>
        <v>3 Moblin Guts</v>
      </c>
      <c r="V52" s="62">
        <f>IFERROR(__xludf.DUMMYFUNCTION("SPLIT(U52,"" "")"),3.0)</f>
        <v>3</v>
      </c>
      <c r="W52" s="62" t="str">
        <f>IFERROR(__xludf.DUMMYFUNCTION("""COMPUTED_VALUE"""),"Moblin")</f>
        <v>Moblin</v>
      </c>
      <c r="X52" s="62" t="str">
        <f>IFERROR(__xludf.DUMMYFUNCTION("""COMPUTED_VALUE"""),"Guts")</f>
        <v>Guts</v>
      </c>
      <c r="Y52" s="62"/>
      <c r="Z52" s="62"/>
      <c r="AA52" s="62"/>
      <c r="AB52" s="63"/>
      <c r="AC52" s="62" t="str">
        <f t="shared" si="2"/>
        <v>Moblin Guts</v>
      </c>
    </row>
    <row r="53">
      <c r="A53" s="62" t="str">
        <f>IFERROR(__xludf.DUMMYFUNCTION("iferror(SPLIT(Tracker!L54,CHAR(10)),"""")"),"N/A")</f>
        <v>N/A</v>
      </c>
      <c r="B53" s="62"/>
      <c r="C53" s="62"/>
      <c r="D53" s="62"/>
      <c r="E53" s="63"/>
      <c r="F53" s="62" t="str">
        <f>IFERROR(__xludf.DUMMYFUNCTION("iferror(SPLIT(Tracker!N54,CHAR(10)),"""")"),"N/A")</f>
        <v>N/A</v>
      </c>
      <c r="G53" s="62"/>
      <c r="H53" s="62"/>
      <c r="I53" s="62"/>
      <c r="J53" s="63"/>
      <c r="K53" s="62" t="str">
        <f>IFERROR(__xludf.DUMMYFUNCTION("iferror(SPLIT(Tracker!P54,CHAR(10)),"""")"),"N/A")</f>
        <v>N/A</v>
      </c>
      <c r="L53" s="62"/>
      <c r="M53" s="62"/>
      <c r="N53" s="62"/>
      <c r="O53" s="63"/>
      <c r="P53" s="62" t="str">
        <f>IFERROR(__xludf.DUMMYFUNCTION("iferror(SPLIT(Tracker!R54,CHAR(10)),"""")"),"N/A")</f>
        <v>N/A</v>
      </c>
      <c r="Q53" s="62"/>
      <c r="R53" s="62"/>
      <c r="S53" s="62"/>
      <c r="T53" s="63"/>
      <c r="U53" s="62" t="str">
        <f>IFERROR(__xludf.DUMMYFUNCTION("""COMPUTED_VALUE"""),"3 Lizalfos Tail")</f>
        <v>3 Lizalfos Tail</v>
      </c>
      <c r="V53" s="62">
        <f>IFERROR(__xludf.DUMMYFUNCTION("SPLIT(U53,"" "")"),3.0)</f>
        <v>3</v>
      </c>
      <c r="W53" s="62" t="str">
        <f>IFERROR(__xludf.DUMMYFUNCTION("""COMPUTED_VALUE"""),"Lizalfos")</f>
        <v>Lizalfos</v>
      </c>
      <c r="X53" s="62" t="str">
        <f>IFERROR(__xludf.DUMMYFUNCTION("""COMPUTED_VALUE"""),"Tail")</f>
        <v>Tail</v>
      </c>
      <c r="Y53" s="62"/>
      <c r="Z53" s="62"/>
      <c r="AA53" s="62"/>
      <c r="AB53" s="63"/>
      <c r="AC53" s="62" t="str">
        <f t="shared" si="2"/>
        <v>Lizalfos Tail</v>
      </c>
    </row>
    <row r="54">
      <c r="A54" s="62" t="str">
        <f>IFERROR(__xludf.DUMMYFUNCTION("iferror(SPLIT(Tracker!L55,CHAR(10)),"""")"),"N/A")</f>
        <v>N/A</v>
      </c>
      <c r="B54" s="62"/>
      <c r="C54" s="62"/>
      <c r="D54" s="62"/>
      <c r="E54" s="63"/>
      <c r="F54" s="62" t="str">
        <f>IFERROR(__xludf.DUMMYFUNCTION("iferror(SPLIT(Tracker!N55,CHAR(10)),"""")"),"N/A")</f>
        <v>N/A</v>
      </c>
      <c r="G54" s="62"/>
      <c r="H54" s="62"/>
      <c r="I54" s="62"/>
      <c r="J54" s="63"/>
      <c r="K54" s="62" t="str">
        <f>IFERROR(__xludf.DUMMYFUNCTION("iferror(SPLIT(Tracker!P55,CHAR(10)),"""")"),"N/A")</f>
        <v>N/A</v>
      </c>
      <c r="L54" s="62"/>
      <c r="M54" s="62"/>
      <c r="N54" s="62"/>
      <c r="O54" s="63"/>
      <c r="P54" s="62" t="str">
        <f>IFERROR(__xludf.DUMMYFUNCTION("iferror(SPLIT(Tracker!R55,CHAR(10)),"""")"),"N/A")</f>
        <v>N/A</v>
      </c>
      <c r="Q54" s="62"/>
      <c r="R54" s="62"/>
      <c r="S54" s="62"/>
      <c r="T54" s="63"/>
      <c r="U54" s="62" t="str">
        <f>IFERROR(__xludf.DUMMYFUNCTION("""COMPUTED_VALUE"""),"3 Hinox Guts")</f>
        <v>3 Hinox Guts</v>
      </c>
      <c r="V54" s="62">
        <f>IFERROR(__xludf.DUMMYFUNCTION("SPLIT(U54,"" "")"),3.0)</f>
        <v>3</v>
      </c>
      <c r="W54" s="62" t="str">
        <f>IFERROR(__xludf.DUMMYFUNCTION("""COMPUTED_VALUE"""),"Hinox")</f>
        <v>Hinox</v>
      </c>
      <c r="X54" s="62" t="str">
        <f>IFERROR(__xludf.DUMMYFUNCTION("""COMPUTED_VALUE"""),"Guts")</f>
        <v>Guts</v>
      </c>
      <c r="Y54" s="62"/>
      <c r="Z54" s="62"/>
      <c r="AA54" s="62"/>
      <c r="AB54" s="63"/>
      <c r="AC54" s="62" t="str">
        <f t="shared" si="2"/>
        <v>Hinox Guts</v>
      </c>
    </row>
    <row r="55">
      <c r="A55" s="62" t="str">
        <f>IFERROR(__xludf.DUMMYFUNCTION("iferror(SPLIT(Tracker!L56,CHAR(10)),"""")"),"N/A")</f>
        <v>N/A</v>
      </c>
      <c r="B55" s="62"/>
      <c r="C55" s="62"/>
      <c r="D55" s="62"/>
      <c r="E55" s="63"/>
      <c r="F55" s="62" t="str">
        <f>IFERROR(__xludf.DUMMYFUNCTION("iferror(SPLIT(Tracker!N56,CHAR(10)),"""")"),"N/A")</f>
        <v>N/A</v>
      </c>
      <c r="G55" s="62"/>
      <c r="H55" s="62"/>
      <c r="I55" s="62"/>
      <c r="J55" s="63"/>
      <c r="K55" s="62" t="str">
        <f>IFERROR(__xludf.DUMMYFUNCTION("iferror(SPLIT(Tracker!P56,CHAR(10)),"""")"),"N/A")</f>
        <v>N/A</v>
      </c>
      <c r="L55" s="62"/>
      <c r="M55" s="62"/>
      <c r="N55" s="62"/>
      <c r="O55" s="63"/>
      <c r="P55" s="62" t="str">
        <f>IFERROR(__xludf.DUMMYFUNCTION("iferror(SPLIT(Tracker!R56,CHAR(10)),"""")"),"N/A")</f>
        <v>N/A</v>
      </c>
      <c r="Q55" s="62"/>
      <c r="R55" s="62"/>
      <c r="S55" s="62"/>
      <c r="T55" s="63"/>
      <c r="U55" s="62" t="str">
        <f>IFERROR(__xludf.DUMMYFUNCTION("""COMPUTED_VALUE"""),"30 Flint")</f>
        <v>30 Flint</v>
      </c>
      <c r="V55" s="62">
        <f>IFERROR(__xludf.DUMMYFUNCTION("SPLIT(U55,"" "")"),30.0)</f>
        <v>30</v>
      </c>
      <c r="W55" s="62" t="str">
        <f>IFERROR(__xludf.DUMMYFUNCTION("""COMPUTED_VALUE"""),"Flint")</f>
        <v>Flint</v>
      </c>
      <c r="X55" s="62"/>
      <c r="Y55" s="62"/>
      <c r="Z55" s="62"/>
      <c r="AA55" s="62"/>
      <c r="AB55" s="63"/>
      <c r="AC55" s="62" t="str">
        <f t="shared" si="2"/>
        <v>Flint</v>
      </c>
    </row>
    <row r="56">
      <c r="A56" s="62" t="str">
        <f>IFERROR(__xludf.DUMMYFUNCTION("iferror(SPLIT(Tracker!L57,CHAR(10)),"""")"),"3 Fire Fruit")</f>
        <v>3 Fire Fruit</v>
      </c>
      <c r="B56" s="62"/>
      <c r="C56" s="62"/>
      <c r="D56" s="62"/>
      <c r="E56" s="63"/>
      <c r="F56" s="62" t="str">
        <f>IFERROR(__xludf.DUMMYFUNCTION("iferror(SPLIT(Tracker!N57,CHAR(10)),"""")"),"5 Fire-Breath Lizalfos Horn")</f>
        <v>5 Fire-Breath Lizalfos Horn</v>
      </c>
      <c r="G56" s="62" t="str">
        <f>IFERROR(__xludf.DUMMYFUNCTION("""COMPUTED_VALUE"""),"5 Summerwing Butterfly")</f>
        <v>5 Summerwing Butterfly</v>
      </c>
      <c r="H56" s="62"/>
      <c r="I56" s="62"/>
      <c r="J56" s="63"/>
      <c r="K56" s="62" t="str">
        <f>IFERROR(__xludf.DUMMYFUNCTION("iferror(SPLIT(Tracker!P57,CHAR(10)),"""")"),"5 Fire Like Stone")</f>
        <v>5 Fire Like Stone</v>
      </c>
      <c r="L56" s="62" t="str">
        <f>IFERROR(__xludf.DUMMYFUNCTION("""COMPUTED_VALUE"""),"5 Warm Darner")</f>
        <v>5 Warm Darner</v>
      </c>
      <c r="M56" s="62" t="str">
        <f>IFERROR(__xludf.DUMMYFUNCTION("""COMPUTED_VALUE"""),"5 Large Zonai Charge")</f>
        <v>5 Large Zonai Charge</v>
      </c>
      <c r="N56" s="62"/>
      <c r="O56" s="63"/>
      <c r="P56" s="62" t="str">
        <f>IFERROR(__xludf.DUMMYFUNCTION("iferror(SPLIT(Tracker!R57,CHAR(10)),"""")"),"5 Gleeok Flame Horn")</f>
        <v>5 Gleeok Flame Horn</v>
      </c>
      <c r="Q56" s="62" t="str">
        <f>IFERROR(__xludf.DUMMYFUNCTION("""COMPUTED_VALUE"""),"10 Sizzlefin Trout")</f>
        <v>10 Sizzlefin Trout</v>
      </c>
      <c r="R56" s="62" t="str">
        <f>IFERROR(__xludf.DUMMYFUNCTION("""COMPUTED_VALUE"""),"10 Large Zonai Charge")</f>
        <v>10 Large Zonai Charge</v>
      </c>
      <c r="S56" s="62"/>
      <c r="T56" s="63"/>
      <c r="U56" s="62" t="str">
        <f>IFERROR(__xludf.DUMMYFUNCTION("""COMPUTED_VALUE"""),"5 Lynel Hoof")</f>
        <v>5 Lynel Hoof</v>
      </c>
      <c r="V56" s="62">
        <f>IFERROR(__xludf.DUMMYFUNCTION("SPLIT(U56,"" "")"),5.0)</f>
        <v>5</v>
      </c>
      <c r="W56" s="62" t="str">
        <f>IFERROR(__xludf.DUMMYFUNCTION("""COMPUTED_VALUE"""),"Lynel")</f>
        <v>Lynel</v>
      </c>
      <c r="X56" s="62" t="str">
        <f>IFERROR(__xludf.DUMMYFUNCTION("""COMPUTED_VALUE"""),"Hoof")</f>
        <v>Hoof</v>
      </c>
      <c r="Y56" s="62"/>
      <c r="Z56" s="62"/>
      <c r="AA56" s="62"/>
      <c r="AB56" s="63"/>
      <c r="AC56" s="62" t="str">
        <f t="shared" si="2"/>
        <v>Lynel Hoof</v>
      </c>
    </row>
    <row r="57">
      <c r="A57" s="62" t="str">
        <f>IFERROR(__xludf.DUMMYFUNCTION("iferror(SPLIT(Tracker!L58,CHAR(10)),"""")"),"3 Fire Fruit")</f>
        <v>3 Fire Fruit</v>
      </c>
      <c r="B57" s="62"/>
      <c r="C57" s="62"/>
      <c r="D57" s="62"/>
      <c r="E57" s="63"/>
      <c r="F57" s="62" t="str">
        <f>IFERROR(__xludf.DUMMYFUNCTION("iferror(SPLIT(Tracker!N58,CHAR(10)),"""")"),"5 Fire-Breath Lizalfos Horn")</f>
        <v>5 Fire-Breath Lizalfos Horn</v>
      </c>
      <c r="G57" s="62" t="str">
        <f>IFERROR(__xludf.DUMMYFUNCTION("""COMPUTED_VALUE"""),"5 Summerwing Butterfly")</f>
        <v>5 Summerwing Butterfly</v>
      </c>
      <c r="H57" s="62"/>
      <c r="I57" s="62"/>
      <c r="J57" s="63"/>
      <c r="K57" s="62" t="str">
        <f>IFERROR(__xludf.DUMMYFUNCTION("iferror(SPLIT(Tracker!P58,CHAR(10)),"""")"),"5 Fire Like Stone")</f>
        <v>5 Fire Like Stone</v>
      </c>
      <c r="L57" s="62" t="str">
        <f>IFERROR(__xludf.DUMMYFUNCTION("""COMPUTED_VALUE"""),"5 Warm Darner")</f>
        <v>5 Warm Darner</v>
      </c>
      <c r="M57" s="62" t="str">
        <f>IFERROR(__xludf.DUMMYFUNCTION("""COMPUTED_VALUE"""),"5 Large Zonai Charge")</f>
        <v>5 Large Zonai Charge</v>
      </c>
      <c r="N57" s="62"/>
      <c r="O57" s="63"/>
      <c r="P57" s="62" t="str">
        <f>IFERROR(__xludf.DUMMYFUNCTION("iferror(SPLIT(Tracker!R58,CHAR(10)),"""")"),"5 Gleeok Flame Horn")</f>
        <v>5 Gleeok Flame Horn</v>
      </c>
      <c r="Q57" s="62" t="str">
        <f>IFERROR(__xludf.DUMMYFUNCTION("""COMPUTED_VALUE"""),"10 Sizzlefin Trout")</f>
        <v>10 Sizzlefin Trout</v>
      </c>
      <c r="R57" s="62" t="str">
        <f>IFERROR(__xludf.DUMMYFUNCTION("""COMPUTED_VALUE"""),"10 Large Zonai Charge")</f>
        <v>10 Large Zonai Charge</v>
      </c>
      <c r="S57" s="62"/>
      <c r="T57" s="63"/>
      <c r="U57" s="62" t="str">
        <f>IFERROR(__xludf.DUMMYFUNCTION("""COMPUTED_VALUE"""),"5 Lynel Guts")</f>
        <v>5 Lynel Guts</v>
      </c>
      <c r="V57" s="62">
        <f>IFERROR(__xludf.DUMMYFUNCTION("SPLIT(U57,"" "")"),5.0)</f>
        <v>5</v>
      </c>
      <c r="W57" s="62" t="str">
        <f>IFERROR(__xludf.DUMMYFUNCTION("""COMPUTED_VALUE"""),"Lynel")</f>
        <v>Lynel</v>
      </c>
      <c r="X57" s="62" t="str">
        <f>IFERROR(__xludf.DUMMYFUNCTION("""COMPUTED_VALUE"""),"Guts")</f>
        <v>Guts</v>
      </c>
      <c r="Y57" s="62"/>
      <c r="Z57" s="62"/>
      <c r="AA57" s="62"/>
      <c r="AB57" s="63"/>
      <c r="AC57" s="62" t="str">
        <f t="shared" si="2"/>
        <v>Lynel Guts</v>
      </c>
    </row>
    <row r="58">
      <c r="A58" s="62" t="str">
        <f>IFERROR(__xludf.DUMMYFUNCTION("iferror(SPLIT(Tracker!L59,CHAR(10)),"""")"),"3 Fire Fruit")</f>
        <v>3 Fire Fruit</v>
      </c>
      <c r="B58" s="62"/>
      <c r="C58" s="62"/>
      <c r="D58" s="62"/>
      <c r="E58" s="63"/>
      <c r="F58" s="62" t="str">
        <f>IFERROR(__xludf.DUMMYFUNCTION("iferror(SPLIT(Tracker!N59,CHAR(10)),"""")"),"5 Fire-Breath Lizalfos Horn")</f>
        <v>5 Fire-Breath Lizalfos Horn</v>
      </c>
      <c r="G58" s="62" t="str">
        <f>IFERROR(__xludf.DUMMYFUNCTION("""COMPUTED_VALUE"""),"5 Summerwing Butterfly")</f>
        <v>5 Summerwing Butterfly</v>
      </c>
      <c r="H58" s="62"/>
      <c r="I58" s="62"/>
      <c r="J58" s="63"/>
      <c r="K58" s="62" t="str">
        <f>IFERROR(__xludf.DUMMYFUNCTION("iferror(SPLIT(Tracker!P59,CHAR(10)),"""")"),"5 Fire Like Stone")</f>
        <v>5 Fire Like Stone</v>
      </c>
      <c r="L58" s="62" t="str">
        <f>IFERROR(__xludf.DUMMYFUNCTION("""COMPUTED_VALUE"""),"5 Warm Darner")</f>
        <v>5 Warm Darner</v>
      </c>
      <c r="M58" s="62" t="str">
        <f>IFERROR(__xludf.DUMMYFUNCTION("""COMPUTED_VALUE"""),"5 Large Zonai Charge")</f>
        <v>5 Large Zonai Charge</v>
      </c>
      <c r="N58" s="62"/>
      <c r="O58" s="63"/>
      <c r="P58" s="62" t="str">
        <f>IFERROR(__xludf.DUMMYFUNCTION("iferror(SPLIT(Tracker!R59,CHAR(10)),"""")"),"5 Gleeok Flame Horn")</f>
        <v>5 Gleeok Flame Horn</v>
      </c>
      <c r="Q58" s="62" t="str">
        <f>IFERROR(__xludf.DUMMYFUNCTION("""COMPUTED_VALUE"""),"10 Sizzlefin Trout")</f>
        <v>10 Sizzlefin Trout</v>
      </c>
      <c r="R58" s="62" t="str">
        <f>IFERROR(__xludf.DUMMYFUNCTION("""COMPUTED_VALUE"""),"10 Large Zonai Charge")</f>
        <v>10 Large Zonai Charge</v>
      </c>
      <c r="S58" s="62"/>
      <c r="T58" s="63"/>
      <c r="U58" s="62" t="str">
        <f>IFERROR(__xludf.DUMMYFUNCTION("""COMPUTED_VALUE"""),"30 Amber")</f>
        <v>30 Amber</v>
      </c>
      <c r="V58" s="62">
        <f>IFERROR(__xludf.DUMMYFUNCTION("SPLIT(U58,"" "")"),30.0)</f>
        <v>30</v>
      </c>
      <c r="W58" s="62" t="str">
        <f>IFERROR(__xludf.DUMMYFUNCTION("""COMPUTED_VALUE"""),"Amber")</f>
        <v>Amber</v>
      </c>
      <c r="X58" s="62"/>
      <c r="Y58" s="62"/>
      <c r="Z58" s="62"/>
      <c r="AA58" s="62"/>
      <c r="AB58" s="63"/>
      <c r="AC58" s="62" t="str">
        <f t="shared" si="2"/>
        <v>Amber</v>
      </c>
    </row>
    <row r="59">
      <c r="A59" s="62" t="str">
        <f>IFERROR(__xludf.DUMMYFUNCTION("iferror(SPLIT(Tracker!L60,CHAR(10)),"""")"),"3 Shock Fruit")</f>
        <v>3 Shock Fruit</v>
      </c>
      <c r="B59" s="62"/>
      <c r="C59" s="62"/>
      <c r="D59" s="62"/>
      <c r="E59" s="63"/>
      <c r="F59" s="62" t="str">
        <f>IFERROR(__xludf.DUMMYFUNCTION("iferror(SPLIT(Tracker!N60,CHAR(10)),"""")"),"5 Electric Lizalfos Horn")</f>
        <v>5 Electric Lizalfos Horn</v>
      </c>
      <c r="G59" s="62" t="str">
        <f>IFERROR(__xludf.DUMMYFUNCTION("""COMPUTED_VALUE"""),"3 Thunderwing Butterfly")</f>
        <v>3 Thunderwing Butterfly</v>
      </c>
      <c r="H59" s="62"/>
      <c r="I59" s="62"/>
      <c r="J59" s="63"/>
      <c r="K59" s="62" t="str">
        <f>IFERROR(__xludf.DUMMYFUNCTION("iferror(SPLIT(Tracker!P60,CHAR(10)),"""")"),"5 Shock Like Stone")</f>
        <v>5 Shock Like Stone</v>
      </c>
      <c r="L59" s="62" t="str">
        <f>IFERROR(__xludf.DUMMYFUNCTION("""COMPUTED_VALUE"""),"5 Electric Darner")</f>
        <v>5 Electric Darner</v>
      </c>
      <c r="M59" s="62" t="str">
        <f>IFERROR(__xludf.DUMMYFUNCTION("""COMPUTED_VALUE"""),"3 Large Zonai Charge")</f>
        <v>3 Large Zonai Charge</v>
      </c>
      <c r="N59" s="62"/>
      <c r="O59" s="63"/>
      <c r="P59" s="62" t="str">
        <f>IFERROR(__xludf.DUMMYFUNCTION("iferror(SPLIT(Tracker!R60,CHAR(10)),"""")"),"5 Gleeok Thunder Horn")</f>
        <v>5 Gleeok Thunder Horn</v>
      </c>
      <c r="Q59" s="62" t="str">
        <f>IFERROR(__xludf.DUMMYFUNCTION("""COMPUTED_VALUE"""),"10 Voltfin Trout")</f>
        <v>10 Voltfin Trout</v>
      </c>
      <c r="R59" s="62" t="str">
        <f>IFERROR(__xludf.DUMMYFUNCTION("""COMPUTED_VALUE"""),"5 Large Zonai Charge")</f>
        <v>5 Large Zonai Charge</v>
      </c>
      <c r="S59" s="62"/>
      <c r="T59" s="63"/>
      <c r="U59" s="62" t="str">
        <f>IFERROR(__xludf.DUMMYFUNCTION("""COMPUTED_VALUE"""),"5 Chuchu Jelly")</f>
        <v>5 Chuchu Jelly</v>
      </c>
      <c r="V59" s="62">
        <f>IFERROR(__xludf.DUMMYFUNCTION("SPLIT(U59,"" "")"),5.0)</f>
        <v>5</v>
      </c>
      <c r="W59" s="62" t="str">
        <f>IFERROR(__xludf.DUMMYFUNCTION("""COMPUTED_VALUE"""),"Chuchu")</f>
        <v>Chuchu</v>
      </c>
      <c r="X59" s="62" t="str">
        <f>IFERROR(__xludf.DUMMYFUNCTION("""COMPUTED_VALUE"""),"Jelly")</f>
        <v>Jelly</v>
      </c>
      <c r="Y59" s="62"/>
      <c r="Z59" s="62"/>
      <c r="AA59" s="62"/>
      <c r="AB59" s="63"/>
      <c r="AC59" s="62" t="str">
        <f t="shared" si="2"/>
        <v>Chuchu Jelly</v>
      </c>
    </row>
    <row r="60">
      <c r="A60" s="62" t="str">
        <f>IFERROR(__xludf.DUMMYFUNCTION("iferror(SPLIT(Tracker!L61,CHAR(10)),"""")"),"3 Shock Fruit")</f>
        <v>3 Shock Fruit</v>
      </c>
      <c r="B60" s="62"/>
      <c r="C60" s="62"/>
      <c r="D60" s="62"/>
      <c r="E60" s="63"/>
      <c r="F60" s="62" t="str">
        <f>IFERROR(__xludf.DUMMYFUNCTION("iferror(SPLIT(Tracker!N61,CHAR(10)),"""")"),"5 Electric Lizalfos Horn")</f>
        <v>5 Electric Lizalfos Horn</v>
      </c>
      <c r="G60" s="62" t="str">
        <f>IFERROR(__xludf.DUMMYFUNCTION("""COMPUTED_VALUE"""),"3 Thunderwing Butterfly")</f>
        <v>3 Thunderwing Butterfly</v>
      </c>
      <c r="H60" s="62"/>
      <c r="I60" s="62"/>
      <c r="J60" s="63"/>
      <c r="K60" s="62" t="str">
        <f>IFERROR(__xludf.DUMMYFUNCTION("iferror(SPLIT(Tracker!P61,CHAR(10)),"""")"),"5 Shock Like Stone")</f>
        <v>5 Shock Like Stone</v>
      </c>
      <c r="L60" s="62" t="str">
        <f>IFERROR(__xludf.DUMMYFUNCTION("""COMPUTED_VALUE"""),"5 Electric Darner")</f>
        <v>5 Electric Darner</v>
      </c>
      <c r="M60" s="62" t="str">
        <f>IFERROR(__xludf.DUMMYFUNCTION("""COMPUTED_VALUE"""),"3 Large Zonai Charge")</f>
        <v>3 Large Zonai Charge</v>
      </c>
      <c r="N60" s="62"/>
      <c r="O60" s="63"/>
      <c r="P60" s="62" t="str">
        <f>IFERROR(__xludf.DUMMYFUNCTION("iferror(SPLIT(Tracker!R61,CHAR(10)),"""")"),"5 Gleeok Thunder Horn")</f>
        <v>5 Gleeok Thunder Horn</v>
      </c>
      <c r="Q60" s="62" t="str">
        <f>IFERROR(__xludf.DUMMYFUNCTION("""COMPUTED_VALUE"""),"10 Voltfin Trout")</f>
        <v>10 Voltfin Trout</v>
      </c>
      <c r="R60" s="62" t="str">
        <f>IFERROR(__xludf.DUMMYFUNCTION("""COMPUTED_VALUE"""),"5 Large Zonai Charge")</f>
        <v>5 Large Zonai Charge</v>
      </c>
      <c r="S60" s="62"/>
      <c r="T60" s="63"/>
      <c r="U60" s="62" t="str">
        <f>IFERROR(__xludf.DUMMYFUNCTION("""COMPUTED_VALUE"""),"3 Bokoblin Guts")</f>
        <v>3 Bokoblin Guts</v>
      </c>
      <c r="V60" s="62">
        <f>IFERROR(__xludf.DUMMYFUNCTION("SPLIT(U60,"" "")"),3.0)</f>
        <v>3</v>
      </c>
      <c r="W60" s="62" t="str">
        <f>IFERROR(__xludf.DUMMYFUNCTION("""COMPUTED_VALUE"""),"Bokoblin")</f>
        <v>Bokoblin</v>
      </c>
      <c r="X60" s="62" t="str">
        <f>IFERROR(__xludf.DUMMYFUNCTION("""COMPUTED_VALUE"""),"Guts")</f>
        <v>Guts</v>
      </c>
      <c r="Y60" s="62"/>
      <c r="Z60" s="62"/>
      <c r="AA60" s="62"/>
      <c r="AB60" s="63"/>
      <c r="AC60" s="62" t="str">
        <f t="shared" si="2"/>
        <v>Bokoblin Guts</v>
      </c>
    </row>
    <row r="61">
      <c r="A61" s="62" t="str">
        <f>IFERROR(__xludf.DUMMYFUNCTION("iferror(SPLIT(Tracker!L62,CHAR(10)),"""")"),"3 Shock Fruit")</f>
        <v>3 Shock Fruit</v>
      </c>
      <c r="B61" s="62"/>
      <c r="C61" s="62"/>
      <c r="D61" s="62"/>
      <c r="E61" s="63"/>
      <c r="F61" s="62" t="str">
        <f>IFERROR(__xludf.DUMMYFUNCTION("iferror(SPLIT(Tracker!N62,CHAR(10)),"""")"),"5 Electric Lizalfos Horn")</f>
        <v>5 Electric Lizalfos Horn</v>
      </c>
      <c r="G61" s="62" t="str">
        <f>IFERROR(__xludf.DUMMYFUNCTION("""COMPUTED_VALUE"""),"3 Thunderwing Butterfly")</f>
        <v>3 Thunderwing Butterfly</v>
      </c>
      <c r="H61" s="62"/>
      <c r="I61" s="62"/>
      <c r="J61" s="63"/>
      <c r="K61" s="62" t="str">
        <f>IFERROR(__xludf.DUMMYFUNCTION("iferror(SPLIT(Tracker!P62,CHAR(10)),"""")"),"5 Shock Like Stone")</f>
        <v>5 Shock Like Stone</v>
      </c>
      <c r="L61" s="62" t="str">
        <f>IFERROR(__xludf.DUMMYFUNCTION("""COMPUTED_VALUE"""),"5 Electric Darner")</f>
        <v>5 Electric Darner</v>
      </c>
      <c r="M61" s="62" t="str">
        <f>IFERROR(__xludf.DUMMYFUNCTION("""COMPUTED_VALUE"""),"3 Large Zonai Charge")</f>
        <v>3 Large Zonai Charge</v>
      </c>
      <c r="N61" s="62"/>
      <c r="O61" s="63"/>
      <c r="P61" s="62" t="str">
        <f>IFERROR(__xludf.DUMMYFUNCTION("iferror(SPLIT(Tracker!R62,CHAR(10)),"""")"),"5 Gleeok Thunder Horn")</f>
        <v>5 Gleeok Thunder Horn</v>
      </c>
      <c r="Q61" s="62" t="str">
        <f>IFERROR(__xludf.DUMMYFUNCTION("""COMPUTED_VALUE"""),"10 Voltfin Trout")</f>
        <v>10 Voltfin Trout</v>
      </c>
      <c r="R61" s="62" t="str">
        <f>IFERROR(__xludf.DUMMYFUNCTION("""COMPUTED_VALUE"""),"5 Large Zonai Charge")</f>
        <v>5 Large Zonai Charge</v>
      </c>
      <c r="S61" s="62"/>
      <c r="T61" s="63"/>
      <c r="U61" s="62" t="str">
        <f>IFERROR(__xludf.DUMMYFUNCTION("""COMPUTED_VALUE"""),"5 Keese Eyeball")</f>
        <v>5 Keese Eyeball</v>
      </c>
      <c r="V61" s="62">
        <f>IFERROR(__xludf.DUMMYFUNCTION("SPLIT(U61,"" "")"),5.0)</f>
        <v>5</v>
      </c>
      <c r="W61" s="62" t="str">
        <f>IFERROR(__xludf.DUMMYFUNCTION("""COMPUTED_VALUE"""),"Keese")</f>
        <v>Keese</v>
      </c>
      <c r="X61" s="62" t="str">
        <f>IFERROR(__xludf.DUMMYFUNCTION("""COMPUTED_VALUE"""),"Eyeball")</f>
        <v>Eyeball</v>
      </c>
      <c r="Y61" s="62"/>
      <c r="Z61" s="62"/>
      <c r="AA61" s="62"/>
      <c r="AB61" s="63"/>
      <c r="AC61" s="62" t="str">
        <f t="shared" si="2"/>
        <v>Keese Eyeball</v>
      </c>
    </row>
    <row r="62">
      <c r="A62" s="62" t="str">
        <f>IFERROR(__xludf.DUMMYFUNCTION("iferror(SPLIT(Tracker!L63,CHAR(10)),"""")"),"3 Ice Fruit")</f>
        <v>3 Ice Fruit</v>
      </c>
      <c r="B62" s="62"/>
      <c r="C62" s="62"/>
      <c r="D62" s="62"/>
      <c r="E62" s="63"/>
      <c r="F62" s="62" t="str">
        <f>IFERROR(__xludf.DUMMYFUNCTION("iferror(SPLIT(Tracker!N63,CHAR(10)),"""")"),"5 Ice-Breath Lizalfos Horn")</f>
        <v>5 Ice-Breath Lizalfos Horn</v>
      </c>
      <c r="G62" s="62" t="str">
        <f>IFERROR(__xludf.DUMMYFUNCTION("""COMPUTED_VALUE"""),"5 Winterwing Butterfly")</f>
        <v>5 Winterwing Butterfly</v>
      </c>
      <c r="H62" s="62"/>
      <c r="I62" s="62"/>
      <c r="J62" s="63"/>
      <c r="K62" s="62" t="str">
        <f>IFERROR(__xludf.DUMMYFUNCTION("iferror(SPLIT(Tracker!P63,CHAR(10)),"""")"),"5 Ice Like Stone")</f>
        <v>5 Ice Like Stone</v>
      </c>
      <c r="L62" s="62" t="str">
        <f>IFERROR(__xludf.DUMMYFUNCTION("""COMPUTED_VALUE"""),"5 Cold Darner")</f>
        <v>5 Cold Darner</v>
      </c>
      <c r="M62" s="62" t="str">
        <f>IFERROR(__xludf.DUMMYFUNCTION("""COMPUTED_VALUE"""),"5 Large Zonai Charge")</f>
        <v>5 Large Zonai Charge</v>
      </c>
      <c r="N62" s="62"/>
      <c r="O62" s="63"/>
      <c r="P62" s="62" t="str">
        <f>IFERROR(__xludf.DUMMYFUNCTION("iferror(SPLIT(Tracker!R63,CHAR(10)),"""")"),"5 Gleeok Frost Horn")</f>
        <v>5 Gleeok Frost Horn</v>
      </c>
      <c r="Q62" s="62" t="str">
        <f>IFERROR(__xludf.DUMMYFUNCTION("""COMPUTED_VALUE"""),"10 Chillfin Trout")</f>
        <v>10 Chillfin Trout</v>
      </c>
      <c r="R62" s="62" t="str">
        <f>IFERROR(__xludf.DUMMYFUNCTION("""COMPUTED_VALUE"""),"10 Large Zonai Charge")</f>
        <v>10 Large Zonai Charge</v>
      </c>
      <c r="S62" s="62"/>
      <c r="T62" s="63"/>
      <c r="U62" s="62" t="str">
        <f>IFERROR(__xludf.DUMMYFUNCTION("""COMPUTED_VALUE"""),"3 Moblin Guts")</f>
        <v>3 Moblin Guts</v>
      </c>
      <c r="V62" s="62">
        <f>IFERROR(__xludf.DUMMYFUNCTION("SPLIT(U62,"" "")"),3.0)</f>
        <v>3</v>
      </c>
      <c r="W62" s="62" t="str">
        <f>IFERROR(__xludf.DUMMYFUNCTION("""COMPUTED_VALUE"""),"Moblin")</f>
        <v>Moblin</v>
      </c>
      <c r="X62" s="62" t="str">
        <f>IFERROR(__xludf.DUMMYFUNCTION("""COMPUTED_VALUE"""),"Guts")</f>
        <v>Guts</v>
      </c>
      <c r="Y62" s="62"/>
      <c r="Z62" s="62"/>
      <c r="AA62" s="62"/>
      <c r="AB62" s="63"/>
      <c r="AC62" s="62" t="str">
        <f t="shared" si="2"/>
        <v>Moblin Guts</v>
      </c>
    </row>
    <row r="63">
      <c r="A63" s="62" t="str">
        <f>IFERROR(__xludf.DUMMYFUNCTION("iferror(SPLIT(Tracker!L64,CHAR(10)),"""")"),"3 Ice Fruit")</f>
        <v>3 Ice Fruit</v>
      </c>
      <c r="B63" s="62"/>
      <c r="C63" s="62"/>
      <c r="D63" s="62"/>
      <c r="E63" s="63"/>
      <c r="F63" s="62" t="str">
        <f>IFERROR(__xludf.DUMMYFUNCTION("iferror(SPLIT(Tracker!N64,CHAR(10)),"""")"),"5 Ice-Breath Lizalfos Horn")</f>
        <v>5 Ice-Breath Lizalfos Horn</v>
      </c>
      <c r="G63" s="62" t="str">
        <f>IFERROR(__xludf.DUMMYFUNCTION("""COMPUTED_VALUE"""),"5 Winterwing Butterfly")</f>
        <v>5 Winterwing Butterfly</v>
      </c>
      <c r="H63" s="62"/>
      <c r="I63" s="62"/>
      <c r="J63" s="63"/>
      <c r="K63" s="62" t="str">
        <f>IFERROR(__xludf.DUMMYFUNCTION("iferror(SPLIT(Tracker!P64,CHAR(10)),"""")"),"5 Ice Like Stone")</f>
        <v>5 Ice Like Stone</v>
      </c>
      <c r="L63" s="62" t="str">
        <f>IFERROR(__xludf.DUMMYFUNCTION("""COMPUTED_VALUE"""),"5 Cold Darner")</f>
        <v>5 Cold Darner</v>
      </c>
      <c r="M63" s="62" t="str">
        <f>IFERROR(__xludf.DUMMYFUNCTION("""COMPUTED_VALUE"""),"5 Large Zonai Charge")</f>
        <v>5 Large Zonai Charge</v>
      </c>
      <c r="N63" s="62"/>
      <c r="O63" s="63"/>
      <c r="P63" s="62" t="str">
        <f>IFERROR(__xludf.DUMMYFUNCTION("iferror(SPLIT(Tracker!R64,CHAR(10)),"""")"),"5 Gleeok Frost Horn")</f>
        <v>5 Gleeok Frost Horn</v>
      </c>
      <c r="Q63" s="62" t="str">
        <f>IFERROR(__xludf.DUMMYFUNCTION("""COMPUTED_VALUE"""),"10 Chillfin Trout")</f>
        <v>10 Chillfin Trout</v>
      </c>
      <c r="R63" s="62" t="str">
        <f>IFERROR(__xludf.DUMMYFUNCTION("""COMPUTED_VALUE"""),"10 Large Zonai Charge")</f>
        <v>10 Large Zonai Charge</v>
      </c>
      <c r="S63" s="62"/>
      <c r="T63" s="63"/>
      <c r="U63" s="62" t="str">
        <f>IFERROR(__xludf.DUMMYFUNCTION("""COMPUTED_VALUE"""),"3 Lizalfos Tail")</f>
        <v>3 Lizalfos Tail</v>
      </c>
      <c r="V63" s="62">
        <f>IFERROR(__xludf.DUMMYFUNCTION("SPLIT(U63,"" "")"),3.0)</f>
        <v>3</v>
      </c>
      <c r="W63" s="62" t="str">
        <f>IFERROR(__xludf.DUMMYFUNCTION("""COMPUTED_VALUE"""),"Lizalfos")</f>
        <v>Lizalfos</v>
      </c>
      <c r="X63" s="62" t="str">
        <f>IFERROR(__xludf.DUMMYFUNCTION("""COMPUTED_VALUE"""),"Tail")</f>
        <v>Tail</v>
      </c>
      <c r="Y63" s="62"/>
      <c r="Z63" s="62"/>
      <c r="AA63" s="62"/>
      <c r="AB63" s="63"/>
      <c r="AC63" s="62" t="str">
        <f t="shared" si="2"/>
        <v>Lizalfos Tail</v>
      </c>
    </row>
    <row r="64">
      <c r="A64" s="62" t="str">
        <f>IFERROR(__xludf.DUMMYFUNCTION("iferror(SPLIT(Tracker!L65,CHAR(10)),"""")"),"3 Ice Fruit")</f>
        <v>3 Ice Fruit</v>
      </c>
      <c r="B64" s="62"/>
      <c r="C64" s="62"/>
      <c r="D64" s="62"/>
      <c r="E64" s="63"/>
      <c r="F64" s="62" t="str">
        <f>IFERROR(__xludf.DUMMYFUNCTION("iferror(SPLIT(Tracker!N65,CHAR(10)),"""")"),"5 Ice-Breath Lizalfos Horn")</f>
        <v>5 Ice-Breath Lizalfos Horn</v>
      </c>
      <c r="G64" s="62" t="str">
        <f>IFERROR(__xludf.DUMMYFUNCTION("""COMPUTED_VALUE"""),"5 Winterwing Butterfly")</f>
        <v>5 Winterwing Butterfly</v>
      </c>
      <c r="H64" s="62"/>
      <c r="I64" s="62"/>
      <c r="J64" s="63"/>
      <c r="K64" s="62" t="str">
        <f>IFERROR(__xludf.DUMMYFUNCTION("iferror(SPLIT(Tracker!P65,CHAR(10)),"""")"),"5 Ice Like Stone")</f>
        <v>5 Ice Like Stone</v>
      </c>
      <c r="L64" s="62" t="str">
        <f>IFERROR(__xludf.DUMMYFUNCTION("""COMPUTED_VALUE"""),"5 Cold Darner")</f>
        <v>5 Cold Darner</v>
      </c>
      <c r="M64" s="62" t="str">
        <f>IFERROR(__xludf.DUMMYFUNCTION("""COMPUTED_VALUE"""),"5 Large Zonai Charge")</f>
        <v>5 Large Zonai Charge</v>
      </c>
      <c r="N64" s="62"/>
      <c r="O64" s="63"/>
      <c r="P64" s="62" t="str">
        <f>IFERROR(__xludf.DUMMYFUNCTION("iferror(SPLIT(Tracker!R65,CHAR(10)),"""")"),"5 Gleeok Frost Horn")</f>
        <v>5 Gleeok Frost Horn</v>
      </c>
      <c r="Q64" s="62" t="str">
        <f>IFERROR(__xludf.DUMMYFUNCTION("""COMPUTED_VALUE"""),"10 Chillfin Trout")</f>
        <v>10 Chillfin Trout</v>
      </c>
      <c r="R64" s="62" t="str">
        <f>IFERROR(__xludf.DUMMYFUNCTION("""COMPUTED_VALUE"""),"10 Large Zonai Charge")</f>
        <v>10 Large Zonai Charge</v>
      </c>
      <c r="S64" s="62"/>
      <c r="T64" s="63"/>
      <c r="U64" s="62" t="str">
        <f>IFERROR(__xludf.DUMMYFUNCTION("""COMPUTED_VALUE"""),"3 Hinox Guts")</f>
        <v>3 Hinox Guts</v>
      </c>
      <c r="V64" s="62">
        <f>IFERROR(__xludf.DUMMYFUNCTION("SPLIT(U64,"" "")"),3.0)</f>
        <v>3</v>
      </c>
      <c r="W64" s="62" t="str">
        <f>IFERROR(__xludf.DUMMYFUNCTION("""COMPUTED_VALUE"""),"Hinox")</f>
        <v>Hinox</v>
      </c>
      <c r="X64" s="62" t="str">
        <f>IFERROR(__xludf.DUMMYFUNCTION("""COMPUTED_VALUE"""),"Guts")</f>
        <v>Guts</v>
      </c>
      <c r="Y64" s="62"/>
      <c r="Z64" s="62"/>
      <c r="AA64" s="62"/>
      <c r="AB64" s="63"/>
      <c r="AC64" s="62" t="str">
        <f t="shared" si="2"/>
        <v>Hinox Guts</v>
      </c>
    </row>
    <row r="65">
      <c r="A65" s="62" t="str">
        <f>IFERROR(__xludf.DUMMYFUNCTION("iferror(SPLIT(Tracker!L66,CHAR(10)),"""")"),"2 Octorok Eyeball")</f>
        <v>2 Octorok Eyeball</v>
      </c>
      <c r="B65" s="62"/>
      <c r="C65" s="62"/>
      <c r="D65" s="62"/>
      <c r="E65" s="63"/>
      <c r="F65" s="62" t="str">
        <f>IFERROR(__xludf.DUMMYFUNCTION("iferror(SPLIT(Tracker!N66,CHAR(10)),"""")"),"3 Fire-Breath Lizalfos Tail")</f>
        <v>3 Fire-Breath Lizalfos Tail</v>
      </c>
      <c r="G65" s="62" t="str">
        <f>IFERROR(__xludf.DUMMYFUNCTION("""COMPUTED_VALUE"""),"3 Puffshroom")</f>
        <v>3 Puffshroom</v>
      </c>
      <c r="H65" s="62"/>
      <c r="I65" s="62"/>
      <c r="J65" s="63"/>
      <c r="K65" s="62" t="str">
        <f>IFERROR(__xludf.DUMMYFUNCTION("iferror(SPLIT(Tracker!P66,CHAR(10)),"""")"),"5 Ice-Breath Lizalfos Tail")</f>
        <v>5 Ice-Breath Lizalfos Tail</v>
      </c>
      <c r="L65" s="62" t="str">
        <f>IFERROR(__xludf.DUMMYFUNCTION("""COMPUTED_VALUE"""),"5 Keese Eyeball")</f>
        <v>5 Keese Eyeball</v>
      </c>
      <c r="M65" s="62"/>
      <c r="N65" s="62"/>
      <c r="O65" s="63"/>
      <c r="P65" s="62" t="str">
        <f>IFERROR(__xludf.DUMMYFUNCTION("iferror(SPLIT(Tracker!R66,CHAR(10)),"""")"),"5 Electric Lizalfos Tail")</f>
        <v>5 Electric Lizalfos Tail</v>
      </c>
      <c r="Q65" s="62" t="str">
        <f>IFERROR(__xludf.DUMMYFUNCTION("""COMPUTED_VALUE"""),"3 Black Hinox Horn")</f>
        <v>3 Black Hinox Horn</v>
      </c>
      <c r="R65" s="62" t="str">
        <f>IFERROR(__xludf.DUMMYFUNCTION("""COMPUTED_VALUE"""),"10 Mighty Bananas")</f>
        <v>10 Mighty Bananas</v>
      </c>
      <c r="S65" s="62"/>
      <c r="T65" s="63"/>
      <c r="U65" s="62" t="str">
        <f>IFERROR(__xludf.DUMMYFUNCTION("""COMPUTED_VALUE"""),"30 Flint")</f>
        <v>30 Flint</v>
      </c>
      <c r="V65" s="62">
        <f>IFERROR(__xludf.DUMMYFUNCTION("SPLIT(U65,"" "")"),30.0)</f>
        <v>30</v>
      </c>
      <c r="W65" s="62" t="str">
        <f>IFERROR(__xludf.DUMMYFUNCTION("""COMPUTED_VALUE"""),"Flint")</f>
        <v>Flint</v>
      </c>
      <c r="X65" s="62"/>
      <c r="Y65" s="62"/>
      <c r="Z65" s="62"/>
      <c r="AA65" s="62"/>
      <c r="AB65" s="63"/>
      <c r="AC65" s="62" t="str">
        <f t="shared" si="2"/>
        <v>Flint</v>
      </c>
    </row>
    <row r="66">
      <c r="A66" s="62" t="str">
        <f>IFERROR(__xludf.DUMMYFUNCTION("iferror(SPLIT(Tracker!L67,CHAR(10)),"""")"),"2 Octorok Eyeball")</f>
        <v>2 Octorok Eyeball</v>
      </c>
      <c r="B66" s="62"/>
      <c r="C66" s="62"/>
      <c r="D66" s="62"/>
      <c r="E66" s="63"/>
      <c r="F66" s="62" t="str">
        <f>IFERROR(__xludf.DUMMYFUNCTION("iferror(SPLIT(Tracker!N67,CHAR(10)),"""")"),"3 Fire-Breath Lizalfos Tail")</f>
        <v>3 Fire-Breath Lizalfos Tail</v>
      </c>
      <c r="G66" s="62" t="str">
        <f>IFERROR(__xludf.DUMMYFUNCTION("""COMPUTED_VALUE"""),"3 Puffshroom")</f>
        <v>3 Puffshroom</v>
      </c>
      <c r="H66" s="62"/>
      <c r="I66" s="62"/>
      <c r="J66" s="63"/>
      <c r="K66" s="62" t="str">
        <f>IFERROR(__xludf.DUMMYFUNCTION("iferror(SPLIT(Tracker!P67,CHAR(10)),"""")"),"5 Ice-Breath Lizalfos Tail")</f>
        <v>5 Ice-Breath Lizalfos Tail</v>
      </c>
      <c r="L66" s="62" t="str">
        <f>IFERROR(__xludf.DUMMYFUNCTION("""COMPUTED_VALUE"""),"5 Keese Eyeball")</f>
        <v>5 Keese Eyeball</v>
      </c>
      <c r="M66" s="62"/>
      <c r="N66" s="62"/>
      <c r="O66" s="63"/>
      <c r="P66" s="62" t="str">
        <f>IFERROR(__xludf.DUMMYFUNCTION("iferror(SPLIT(Tracker!R67,CHAR(10)),"""")"),"5 Electric Lizalfos Tail")</f>
        <v>5 Electric Lizalfos Tail</v>
      </c>
      <c r="Q66" s="62" t="str">
        <f>IFERROR(__xludf.DUMMYFUNCTION("""COMPUTED_VALUE"""),"3 Black Hinox Horn")</f>
        <v>3 Black Hinox Horn</v>
      </c>
      <c r="R66" s="62" t="str">
        <f>IFERROR(__xludf.DUMMYFUNCTION("""COMPUTED_VALUE"""),"10 Mighty Bananas")</f>
        <v>10 Mighty Bananas</v>
      </c>
      <c r="S66" s="62"/>
      <c r="T66" s="63"/>
      <c r="U66" s="62" t="str">
        <f>IFERROR(__xludf.DUMMYFUNCTION("""COMPUTED_VALUE"""),"5 Lynel Hoof")</f>
        <v>5 Lynel Hoof</v>
      </c>
      <c r="V66" s="62">
        <f>IFERROR(__xludf.DUMMYFUNCTION("SPLIT(U66,"" "")"),5.0)</f>
        <v>5</v>
      </c>
      <c r="W66" s="62" t="str">
        <f>IFERROR(__xludf.DUMMYFUNCTION("""COMPUTED_VALUE"""),"Lynel")</f>
        <v>Lynel</v>
      </c>
      <c r="X66" s="62" t="str">
        <f>IFERROR(__xludf.DUMMYFUNCTION("""COMPUTED_VALUE"""),"Hoof")</f>
        <v>Hoof</v>
      </c>
      <c r="Y66" s="62"/>
      <c r="Z66" s="62"/>
      <c r="AA66" s="62"/>
      <c r="AB66" s="63"/>
      <c r="AC66" s="62" t="str">
        <f t="shared" si="2"/>
        <v>Lynel Hoof</v>
      </c>
    </row>
    <row r="67">
      <c r="A67" s="62" t="str">
        <f>IFERROR(__xludf.DUMMYFUNCTION("iferror(SPLIT(Tracker!L68,CHAR(10)),"""")"),"2 Octorok Eyeball")</f>
        <v>2 Octorok Eyeball</v>
      </c>
      <c r="B67" s="62"/>
      <c r="C67" s="62"/>
      <c r="D67" s="62"/>
      <c r="E67" s="63"/>
      <c r="F67" s="62" t="str">
        <f>IFERROR(__xludf.DUMMYFUNCTION("iferror(SPLIT(Tracker!N68,CHAR(10)),"""")"),"3 Fire-Breath Lizalfos Tail")</f>
        <v>3 Fire-Breath Lizalfos Tail</v>
      </c>
      <c r="G67" s="62" t="str">
        <f>IFERROR(__xludf.DUMMYFUNCTION("""COMPUTED_VALUE"""),"3 Puffshroom")</f>
        <v>3 Puffshroom</v>
      </c>
      <c r="H67" s="62"/>
      <c r="I67" s="62"/>
      <c r="J67" s="63"/>
      <c r="K67" s="62" t="str">
        <f>IFERROR(__xludf.DUMMYFUNCTION("iferror(SPLIT(Tracker!P68,CHAR(10)),"""")"),"5 Ice-Breath Lizalfos Tail")</f>
        <v>5 Ice-Breath Lizalfos Tail</v>
      </c>
      <c r="L67" s="62" t="str">
        <f>IFERROR(__xludf.DUMMYFUNCTION("""COMPUTED_VALUE"""),"5 Keese Eyeball")</f>
        <v>5 Keese Eyeball</v>
      </c>
      <c r="M67" s="62"/>
      <c r="N67" s="62"/>
      <c r="O67" s="63"/>
      <c r="P67" s="62" t="str">
        <f>IFERROR(__xludf.DUMMYFUNCTION("iferror(SPLIT(Tracker!R68,CHAR(10)),"""")"),"5 Electric Lizalfos Tail")</f>
        <v>5 Electric Lizalfos Tail</v>
      </c>
      <c r="Q67" s="62" t="str">
        <f>IFERROR(__xludf.DUMMYFUNCTION("""COMPUTED_VALUE"""),"3 Black Hinox Horn")</f>
        <v>3 Black Hinox Horn</v>
      </c>
      <c r="R67" s="62" t="str">
        <f>IFERROR(__xludf.DUMMYFUNCTION("""COMPUTED_VALUE"""),"10 Mighty Bananas")</f>
        <v>10 Mighty Bananas</v>
      </c>
      <c r="S67" s="62"/>
      <c r="T67" s="63"/>
      <c r="U67" s="62" t="str">
        <f>IFERROR(__xludf.DUMMYFUNCTION("""COMPUTED_VALUE"""),"5 Lynel Guts")</f>
        <v>5 Lynel Guts</v>
      </c>
      <c r="V67" s="62">
        <f>IFERROR(__xludf.DUMMYFUNCTION("SPLIT(U67,"" "")"),5.0)</f>
        <v>5</v>
      </c>
      <c r="W67" s="62" t="str">
        <f>IFERROR(__xludf.DUMMYFUNCTION("""COMPUTED_VALUE"""),"Lynel")</f>
        <v>Lynel</v>
      </c>
      <c r="X67" s="62" t="str">
        <f>IFERROR(__xludf.DUMMYFUNCTION("""COMPUTED_VALUE"""),"Guts")</f>
        <v>Guts</v>
      </c>
      <c r="Y67" s="62"/>
      <c r="Z67" s="62"/>
      <c r="AA67" s="62"/>
      <c r="AB67" s="63"/>
      <c r="AC67" s="62" t="str">
        <f t="shared" si="2"/>
        <v>Lynel Guts</v>
      </c>
    </row>
    <row r="68">
      <c r="A68" s="62" t="str">
        <f>IFERROR(__xludf.DUMMYFUNCTION("iferror(SPLIT(Tracker!L69,CHAR(10)),"""")"),"1 Ruby")</f>
        <v>1 Ruby</v>
      </c>
      <c r="B68" s="62" t="str">
        <f>IFERROR(__xludf.DUMMYFUNCTION("""COMPUTED_VALUE"""),"5 Zonaite")</f>
        <v>5 Zonaite</v>
      </c>
      <c r="C68" s="62"/>
      <c r="D68" s="62"/>
      <c r="E68" s="63"/>
      <c r="F68" s="62" t="str">
        <f>IFERROR(__xludf.DUMMYFUNCTION("iferror(SPLIT(Tracker!N69,CHAR(10)),"""")"),"4 Ruby")</f>
        <v>4 Ruby</v>
      </c>
      <c r="G68" s="62" t="str">
        <f>IFERROR(__xludf.DUMMYFUNCTION("""COMPUTED_VALUE"""),"10 Zonaite")</f>
        <v>10 Zonaite</v>
      </c>
      <c r="H68" s="62"/>
      <c r="I68" s="62"/>
      <c r="J68" s="63"/>
      <c r="K68" s="62" t="str">
        <f>IFERROR(__xludf.DUMMYFUNCTION("iferror(SPLIT(Tracker!P69,CHAR(10)),"""")"),"6 Ruby")</f>
        <v>6 Ruby</v>
      </c>
      <c r="L68" s="62" t="str">
        <f>IFERROR(__xludf.DUMMYFUNCTION("""COMPUTED_VALUE"""),"5 Large Zonaite")</f>
        <v>5 Large Zonaite</v>
      </c>
      <c r="M68" s="62" t="str">
        <f>IFERROR(__xludf.DUMMYFUNCTION("""COMPUTED_VALUE"""),"5 Dazzlefruit")</f>
        <v>5 Dazzlefruit</v>
      </c>
      <c r="N68" s="62"/>
      <c r="O68" s="63"/>
      <c r="P68" s="62" t="str">
        <f>IFERROR(__xludf.DUMMYFUNCTION("iferror(SPLIT(Tracker!R69,CHAR(10)),"""")"),"10 Ruby")</f>
        <v>10 Ruby</v>
      </c>
      <c r="Q68" s="62" t="str">
        <f>IFERROR(__xludf.DUMMYFUNCTION("""COMPUTED_VALUE"""),"10 Large Zonaite")</f>
        <v>10 Large Zonaite</v>
      </c>
      <c r="R68" s="62" t="str">
        <f>IFERROR(__xludf.DUMMYFUNCTION("""COMPUTED_VALUE"""),"10 Dazzlefruit")</f>
        <v>10 Dazzlefruit</v>
      </c>
      <c r="S68" s="62"/>
      <c r="T68" s="63"/>
      <c r="U68" s="62" t="str">
        <f>IFERROR(__xludf.DUMMYFUNCTION("""COMPUTED_VALUE"""),"30 Amber")</f>
        <v>30 Amber</v>
      </c>
      <c r="V68" s="62">
        <f>IFERROR(__xludf.DUMMYFUNCTION("SPLIT(U68,"" "")"),30.0)</f>
        <v>30</v>
      </c>
      <c r="W68" s="62" t="str">
        <f>IFERROR(__xludf.DUMMYFUNCTION("""COMPUTED_VALUE"""),"Amber")</f>
        <v>Amber</v>
      </c>
      <c r="X68" s="62"/>
      <c r="Y68" s="62"/>
      <c r="Z68" s="62"/>
      <c r="AA68" s="62"/>
      <c r="AB68" s="63"/>
      <c r="AC68" s="62" t="str">
        <f t="shared" si="2"/>
        <v>Amber</v>
      </c>
    </row>
    <row r="69">
      <c r="A69" s="62" t="str">
        <f>IFERROR(__xludf.DUMMYFUNCTION("iferror(SPLIT(Tracker!L70,CHAR(10)),"""")"),"1 Sapphire")</f>
        <v>1 Sapphire</v>
      </c>
      <c r="B69" s="62" t="str">
        <f>IFERROR(__xludf.DUMMYFUNCTION("""COMPUTED_VALUE"""),"5 Zonaite")</f>
        <v>5 Zonaite</v>
      </c>
      <c r="C69" s="62"/>
      <c r="D69" s="62"/>
      <c r="E69" s="63"/>
      <c r="F69" s="62" t="str">
        <f>IFERROR(__xludf.DUMMYFUNCTION("iferror(SPLIT(Tracker!N70,CHAR(10)),"""")"),"4 Sapphire")</f>
        <v>4 Sapphire</v>
      </c>
      <c r="G69" s="62" t="str">
        <f>IFERROR(__xludf.DUMMYFUNCTION("""COMPUTED_VALUE"""),"10 Zonaite")</f>
        <v>10 Zonaite</v>
      </c>
      <c r="H69" s="62"/>
      <c r="I69" s="62"/>
      <c r="J69" s="63"/>
      <c r="K69" s="62" t="str">
        <f>IFERROR(__xludf.DUMMYFUNCTION("iferror(SPLIT(Tracker!P70,CHAR(10)),"""")"),"6 Sapphire")</f>
        <v>6 Sapphire</v>
      </c>
      <c r="L69" s="62" t="str">
        <f>IFERROR(__xludf.DUMMYFUNCTION("""COMPUTED_VALUE"""),"5 Large Zonaite")</f>
        <v>5 Large Zonaite</v>
      </c>
      <c r="M69" s="62" t="str">
        <f>IFERROR(__xludf.DUMMYFUNCTION("""COMPUTED_VALUE"""),"5 Dazzlefruit")</f>
        <v>5 Dazzlefruit</v>
      </c>
      <c r="N69" s="62"/>
      <c r="O69" s="63"/>
      <c r="P69" s="62" t="str">
        <f>IFERROR(__xludf.DUMMYFUNCTION("iferror(SPLIT(Tracker!R70,CHAR(10)),"""")"),"10 Sapphire")</f>
        <v>10 Sapphire</v>
      </c>
      <c r="Q69" s="62" t="str">
        <f>IFERROR(__xludf.DUMMYFUNCTION("""COMPUTED_VALUE"""),"10 Large Zonaite")</f>
        <v>10 Large Zonaite</v>
      </c>
      <c r="R69" s="62" t="str">
        <f>IFERROR(__xludf.DUMMYFUNCTION("""COMPUTED_VALUE"""),"10 Dazzlefruit")</f>
        <v>10 Dazzlefruit</v>
      </c>
      <c r="S69" s="62"/>
      <c r="T69" s="63"/>
      <c r="U69" s="62" t="str">
        <f>IFERROR(__xludf.DUMMYFUNCTION("""COMPUTED_VALUE"""),"5 Chuchu Jelly")</f>
        <v>5 Chuchu Jelly</v>
      </c>
      <c r="V69" s="62">
        <f>IFERROR(__xludf.DUMMYFUNCTION("SPLIT(U69,"" "")"),5.0)</f>
        <v>5</v>
      </c>
      <c r="W69" s="62" t="str">
        <f>IFERROR(__xludf.DUMMYFUNCTION("""COMPUTED_VALUE"""),"Chuchu")</f>
        <v>Chuchu</v>
      </c>
      <c r="X69" s="62" t="str">
        <f>IFERROR(__xludf.DUMMYFUNCTION("""COMPUTED_VALUE"""),"Jelly")</f>
        <v>Jelly</v>
      </c>
      <c r="Y69" s="62"/>
      <c r="Z69" s="62"/>
      <c r="AA69" s="62"/>
      <c r="AB69" s="63"/>
      <c r="AC69" s="62" t="str">
        <f t="shared" si="2"/>
        <v>Chuchu Jelly</v>
      </c>
    </row>
    <row r="70">
      <c r="A70" s="62" t="str">
        <f>IFERROR(__xludf.DUMMYFUNCTION("iferror(SPLIT(Tracker!L71,CHAR(10)),"""")"),"1 Topaz")</f>
        <v>1 Topaz</v>
      </c>
      <c r="B70" s="62" t="str">
        <f>IFERROR(__xludf.DUMMYFUNCTION("""COMPUTED_VALUE"""),"5 Zonaite")</f>
        <v>5 Zonaite</v>
      </c>
      <c r="C70" s="62"/>
      <c r="D70" s="62"/>
      <c r="E70" s="63"/>
      <c r="F70" s="62" t="str">
        <f>IFERROR(__xludf.DUMMYFUNCTION("iferror(SPLIT(Tracker!N71,CHAR(10)),"""")"),"4 Topaz")</f>
        <v>4 Topaz</v>
      </c>
      <c r="G70" s="62" t="str">
        <f>IFERROR(__xludf.DUMMYFUNCTION("""COMPUTED_VALUE"""),"10 Zonaite")</f>
        <v>10 Zonaite</v>
      </c>
      <c r="H70" s="62"/>
      <c r="I70" s="62"/>
      <c r="J70" s="63"/>
      <c r="K70" s="62" t="str">
        <f>IFERROR(__xludf.DUMMYFUNCTION("iferror(SPLIT(Tracker!P71,CHAR(10)),"""")"),"6 Topaz")</f>
        <v>6 Topaz</v>
      </c>
      <c r="L70" s="62" t="str">
        <f>IFERROR(__xludf.DUMMYFUNCTION("""COMPUTED_VALUE"""),"5 Large Zonaite")</f>
        <v>5 Large Zonaite</v>
      </c>
      <c r="M70" s="62" t="str">
        <f>IFERROR(__xludf.DUMMYFUNCTION("""COMPUTED_VALUE"""),"5 Dazzlefruit")</f>
        <v>5 Dazzlefruit</v>
      </c>
      <c r="N70" s="62"/>
      <c r="O70" s="63"/>
      <c r="P70" s="62" t="str">
        <f>IFERROR(__xludf.DUMMYFUNCTION("iferror(SPLIT(Tracker!R71,CHAR(10)),"""")"),"10 Topaz")</f>
        <v>10 Topaz</v>
      </c>
      <c r="Q70" s="62" t="str">
        <f>IFERROR(__xludf.DUMMYFUNCTION("""COMPUTED_VALUE"""),"10 Large Zonaite")</f>
        <v>10 Large Zonaite</v>
      </c>
      <c r="R70" s="62" t="str">
        <f>IFERROR(__xludf.DUMMYFUNCTION("""COMPUTED_VALUE"""),"10 Dazzlefruit")</f>
        <v>10 Dazzlefruit</v>
      </c>
      <c r="S70" s="62"/>
      <c r="T70" s="63"/>
      <c r="U70" s="62" t="str">
        <f>IFERROR(__xludf.DUMMYFUNCTION("""COMPUTED_VALUE"""),"3 Bokoblin Guts")</f>
        <v>3 Bokoblin Guts</v>
      </c>
      <c r="V70" s="62">
        <f>IFERROR(__xludf.DUMMYFUNCTION("SPLIT(U70,"" "")"),3.0)</f>
        <v>3</v>
      </c>
      <c r="W70" s="62" t="str">
        <f>IFERROR(__xludf.DUMMYFUNCTION("""COMPUTED_VALUE"""),"Bokoblin")</f>
        <v>Bokoblin</v>
      </c>
      <c r="X70" s="62" t="str">
        <f>IFERROR(__xludf.DUMMYFUNCTION("""COMPUTED_VALUE"""),"Guts")</f>
        <v>Guts</v>
      </c>
      <c r="Y70" s="62"/>
      <c r="Z70" s="62"/>
      <c r="AA70" s="62"/>
      <c r="AB70" s="63"/>
      <c r="AC70" s="62" t="str">
        <f t="shared" si="2"/>
        <v>Bokoblin Guts</v>
      </c>
    </row>
    <row r="71">
      <c r="A71" s="62" t="str">
        <f>IFERROR(__xludf.DUMMYFUNCTION("iferror(SPLIT(Tracker!L72,CHAR(10)),"""")"),"5 Opal")</f>
        <v>5 Opal</v>
      </c>
      <c r="B71" s="62" t="str">
        <f>IFERROR(__xludf.DUMMYFUNCTION("""COMPUTED_VALUE"""),"5 Zonaite")</f>
        <v>5 Zonaite</v>
      </c>
      <c r="C71" s="62"/>
      <c r="D71" s="62"/>
      <c r="E71" s="63"/>
      <c r="F71" s="62" t="str">
        <f>IFERROR(__xludf.DUMMYFUNCTION("iferror(SPLIT(Tracker!N72,CHAR(10)),"""")"),"10 Opal")</f>
        <v>10 Opal</v>
      </c>
      <c r="G71" s="62" t="str">
        <f>IFERROR(__xludf.DUMMYFUNCTION("""COMPUTED_VALUE"""),"10 Zonaite")</f>
        <v>10 Zonaite</v>
      </c>
      <c r="H71" s="62"/>
      <c r="I71" s="62"/>
      <c r="J71" s="63"/>
      <c r="K71" s="62" t="str">
        <f>IFERROR(__xludf.DUMMYFUNCTION("iferror(SPLIT(Tracker!P72,CHAR(10)),"""")"),"15 Opal")</f>
        <v>15 Opal</v>
      </c>
      <c r="L71" s="62" t="str">
        <f>IFERROR(__xludf.DUMMYFUNCTION("""COMPUTED_VALUE"""),"5 Large Zonaite")</f>
        <v>5 Large Zonaite</v>
      </c>
      <c r="M71" s="62" t="str">
        <f>IFERROR(__xludf.DUMMYFUNCTION("""COMPUTED_VALUE"""),"5 Dazzlefruit")</f>
        <v>5 Dazzlefruit</v>
      </c>
      <c r="N71" s="62"/>
      <c r="O71" s="63"/>
      <c r="P71" s="62" t="str">
        <f>IFERROR(__xludf.DUMMYFUNCTION("iferror(SPLIT(Tracker!R72,CHAR(10)),"""")"),"25 Opal")</f>
        <v>25 Opal</v>
      </c>
      <c r="Q71" s="62" t="str">
        <f>IFERROR(__xludf.DUMMYFUNCTION("""COMPUTED_VALUE"""),"10 Large Zonaite")</f>
        <v>10 Large Zonaite</v>
      </c>
      <c r="R71" s="62" t="str">
        <f>IFERROR(__xludf.DUMMYFUNCTION("""COMPUTED_VALUE"""),"10 Dazzlefruit")</f>
        <v>10 Dazzlefruit</v>
      </c>
      <c r="S71" s="62"/>
      <c r="T71" s="63"/>
      <c r="U71" s="62" t="str">
        <f>IFERROR(__xludf.DUMMYFUNCTION("""COMPUTED_VALUE"""),"5 Keese Eyeball")</f>
        <v>5 Keese Eyeball</v>
      </c>
      <c r="V71" s="62">
        <f>IFERROR(__xludf.DUMMYFUNCTION("SPLIT(U71,"" "")"),5.0)</f>
        <v>5</v>
      </c>
      <c r="W71" s="62" t="str">
        <f>IFERROR(__xludf.DUMMYFUNCTION("""COMPUTED_VALUE"""),"Keese")</f>
        <v>Keese</v>
      </c>
      <c r="X71" s="62" t="str">
        <f>IFERROR(__xludf.DUMMYFUNCTION("""COMPUTED_VALUE"""),"Eyeball")</f>
        <v>Eyeball</v>
      </c>
      <c r="Y71" s="62"/>
      <c r="Z71" s="62"/>
      <c r="AA71" s="62"/>
      <c r="AB71" s="63"/>
      <c r="AC71" s="62" t="str">
        <f t="shared" si="2"/>
        <v>Keese Eyeball</v>
      </c>
    </row>
    <row r="72">
      <c r="A72" s="62" t="str">
        <f>IFERROR(__xludf.DUMMYFUNCTION("iferror(SPLIT(Tracker!L73,CHAR(10)),"""")"),"5 Soldier Construct Horn")</f>
        <v>5 Soldier Construct Horn</v>
      </c>
      <c r="B72" s="62"/>
      <c r="C72" s="62"/>
      <c r="D72" s="62"/>
      <c r="E72" s="63"/>
      <c r="F72" s="62" t="str">
        <f>IFERROR(__xludf.DUMMYFUNCTION("iferror(SPLIT(Tracker!N73,CHAR(10)),"""")"),"5 Soldier Construct II Horn")</f>
        <v>5 Soldier Construct II Horn</v>
      </c>
      <c r="G72" s="62" t="str">
        <f>IFERROR(__xludf.DUMMYFUNCTION("""COMPUTED_VALUE"""),"5 Captain Construct I Horn")</f>
        <v>5 Captain Construct I Horn</v>
      </c>
      <c r="H72" s="62" t="str">
        <f>IFERROR(__xludf.DUMMYFUNCTION("""COMPUTED_VALUE"""),"5 Zonaite")</f>
        <v>5 Zonaite</v>
      </c>
      <c r="I72" s="62"/>
      <c r="J72" s="63"/>
      <c r="K72" s="62" t="str">
        <f>IFERROR(__xludf.DUMMYFUNCTION("iferror(SPLIT(Tracker!P73,CHAR(10)),"""")"),"5 Soldier Construct III Horn")</f>
        <v>5 Soldier Construct III Horn</v>
      </c>
      <c r="L72" s="62" t="str">
        <f>IFERROR(__xludf.DUMMYFUNCTION("""COMPUTED_VALUE"""),"5 Captain Construct II Horn")</f>
        <v>5 Captain Construct II Horn</v>
      </c>
      <c r="M72" s="62" t="str">
        <f>IFERROR(__xludf.DUMMYFUNCTION("""COMPUTED_VALUE"""),"5 Large Zonaite")</f>
        <v>5 Large Zonaite</v>
      </c>
      <c r="N72" s="62"/>
      <c r="O72" s="63"/>
      <c r="P72" s="62" t="str">
        <f>IFERROR(__xludf.DUMMYFUNCTION("iferror(SPLIT(Tracker!R73,CHAR(10)),"""")"),"5 Soldier Construct IV Horn")</f>
        <v>5 Soldier Construct IV Horn</v>
      </c>
      <c r="Q72" s="62" t="str">
        <f>IFERROR(__xludf.DUMMYFUNCTION("""COMPUTED_VALUE"""),"5 Captain Construct III Horn")</f>
        <v>5 Captain Construct III Horn</v>
      </c>
      <c r="R72" s="62" t="str">
        <f>IFERROR(__xludf.DUMMYFUNCTION("""COMPUTED_VALUE"""),"10 Large Zonaite")</f>
        <v>10 Large Zonaite</v>
      </c>
      <c r="S72" s="62"/>
      <c r="T72" s="63"/>
      <c r="U72" s="62" t="str">
        <f>IFERROR(__xludf.DUMMYFUNCTION("""COMPUTED_VALUE"""),"3 Moblin Guts")</f>
        <v>3 Moblin Guts</v>
      </c>
      <c r="V72" s="62">
        <f>IFERROR(__xludf.DUMMYFUNCTION("SPLIT(U72,"" "")"),3.0)</f>
        <v>3</v>
      </c>
      <c r="W72" s="62" t="str">
        <f>IFERROR(__xludf.DUMMYFUNCTION("""COMPUTED_VALUE"""),"Moblin")</f>
        <v>Moblin</v>
      </c>
      <c r="X72" s="62" t="str">
        <f>IFERROR(__xludf.DUMMYFUNCTION("""COMPUTED_VALUE"""),"Guts")</f>
        <v>Guts</v>
      </c>
      <c r="Y72" s="62"/>
      <c r="Z72" s="62"/>
      <c r="AA72" s="62"/>
      <c r="AB72" s="63"/>
      <c r="AC72" s="62" t="str">
        <f t="shared" si="2"/>
        <v>Moblin Guts</v>
      </c>
    </row>
    <row r="73">
      <c r="A73" s="62" t="str">
        <f>IFERROR(__xludf.DUMMYFUNCTION("iferror(SPLIT(Tracker!L74,CHAR(10)),"""")"),"5 Soldier Construct Horn")</f>
        <v>5 Soldier Construct Horn</v>
      </c>
      <c r="B73" s="62"/>
      <c r="C73" s="62"/>
      <c r="D73" s="62"/>
      <c r="E73" s="63"/>
      <c r="F73" s="62" t="str">
        <f>IFERROR(__xludf.DUMMYFUNCTION("iferror(SPLIT(Tracker!N74,CHAR(10)),"""")"),"5 Soldier Construct II Horn")</f>
        <v>5 Soldier Construct II Horn</v>
      </c>
      <c r="G73" s="62" t="str">
        <f>IFERROR(__xludf.DUMMYFUNCTION("""COMPUTED_VALUE"""),"5 Captain Construct I Horn")</f>
        <v>5 Captain Construct I Horn</v>
      </c>
      <c r="H73" s="62" t="str">
        <f>IFERROR(__xludf.DUMMYFUNCTION("""COMPUTED_VALUE"""),"5 Zonaite")</f>
        <v>5 Zonaite</v>
      </c>
      <c r="I73" s="62"/>
      <c r="J73" s="63"/>
      <c r="K73" s="62" t="str">
        <f>IFERROR(__xludf.DUMMYFUNCTION("iferror(SPLIT(Tracker!P74,CHAR(10)),"""")"),"5 Soldier Construct III Horn")</f>
        <v>5 Soldier Construct III Horn</v>
      </c>
      <c r="L73" s="62" t="str">
        <f>IFERROR(__xludf.DUMMYFUNCTION("""COMPUTED_VALUE"""),"5 Captain Construct II Horn")</f>
        <v>5 Captain Construct II Horn</v>
      </c>
      <c r="M73" s="62" t="str">
        <f>IFERROR(__xludf.DUMMYFUNCTION("""COMPUTED_VALUE"""),"5 Large Zonaite")</f>
        <v>5 Large Zonaite</v>
      </c>
      <c r="N73" s="62"/>
      <c r="O73" s="63"/>
      <c r="P73" s="62" t="str">
        <f>IFERROR(__xludf.DUMMYFUNCTION("iferror(SPLIT(Tracker!R74,CHAR(10)),"""")"),"5 Soldier Construct IV Horn")</f>
        <v>5 Soldier Construct IV Horn</v>
      </c>
      <c r="Q73" s="62" t="str">
        <f>IFERROR(__xludf.DUMMYFUNCTION("""COMPUTED_VALUE"""),"5 Captain Construct III Horn")</f>
        <v>5 Captain Construct III Horn</v>
      </c>
      <c r="R73" s="62" t="str">
        <f>IFERROR(__xludf.DUMMYFUNCTION("""COMPUTED_VALUE"""),"10 Large Zonaite")</f>
        <v>10 Large Zonaite</v>
      </c>
      <c r="S73" s="62"/>
      <c r="T73" s="63"/>
      <c r="U73" s="62" t="str">
        <f>IFERROR(__xludf.DUMMYFUNCTION("""COMPUTED_VALUE"""),"3 Lizalfos Tail")</f>
        <v>3 Lizalfos Tail</v>
      </c>
      <c r="V73" s="62">
        <f>IFERROR(__xludf.DUMMYFUNCTION("SPLIT(U73,"" "")"),3.0)</f>
        <v>3</v>
      </c>
      <c r="W73" s="62" t="str">
        <f>IFERROR(__xludf.DUMMYFUNCTION("""COMPUTED_VALUE"""),"Lizalfos")</f>
        <v>Lizalfos</v>
      </c>
      <c r="X73" s="62" t="str">
        <f>IFERROR(__xludf.DUMMYFUNCTION("""COMPUTED_VALUE"""),"Tail")</f>
        <v>Tail</v>
      </c>
      <c r="Y73" s="62"/>
      <c r="Z73" s="62"/>
      <c r="AA73" s="62"/>
      <c r="AB73" s="63"/>
      <c r="AC73" s="62" t="str">
        <f t="shared" si="2"/>
        <v>Lizalfos Tail</v>
      </c>
    </row>
    <row r="74">
      <c r="A74" s="62" t="str">
        <f>IFERROR(__xludf.DUMMYFUNCTION("iferror(SPLIT(Tracker!L75,CHAR(10)),"""")"),"5 Soldier Construct Horn")</f>
        <v>5 Soldier Construct Horn</v>
      </c>
      <c r="B74" s="62"/>
      <c r="C74" s="62"/>
      <c r="D74" s="62"/>
      <c r="E74" s="63"/>
      <c r="F74" s="62" t="str">
        <f>IFERROR(__xludf.DUMMYFUNCTION("iferror(SPLIT(Tracker!N75,CHAR(10)),"""")"),"5 Soldier Construct II Horn")</f>
        <v>5 Soldier Construct II Horn</v>
      </c>
      <c r="G74" s="62" t="str">
        <f>IFERROR(__xludf.DUMMYFUNCTION("""COMPUTED_VALUE"""),"5 Captain Construct I Horn")</f>
        <v>5 Captain Construct I Horn</v>
      </c>
      <c r="H74" s="62" t="str">
        <f>IFERROR(__xludf.DUMMYFUNCTION("""COMPUTED_VALUE"""),"5 Zonaite")</f>
        <v>5 Zonaite</v>
      </c>
      <c r="I74" s="62"/>
      <c r="J74" s="63"/>
      <c r="K74" s="62" t="str">
        <f>IFERROR(__xludf.DUMMYFUNCTION("iferror(SPLIT(Tracker!P75,CHAR(10)),"""")"),"5 Soldier Construct III Horn")</f>
        <v>5 Soldier Construct III Horn</v>
      </c>
      <c r="L74" s="62" t="str">
        <f>IFERROR(__xludf.DUMMYFUNCTION("""COMPUTED_VALUE"""),"5 Captain Construct II Horn")</f>
        <v>5 Captain Construct II Horn</v>
      </c>
      <c r="M74" s="62" t="str">
        <f>IFERROR(__xludf.DUMMYFUNCTION("""COMPUTED_VALUE"""),"5 Large Zonaite")</f>
        <v>5 Large Zonaite</v>
      </c>
      <c r="N74" s="62"/>
      <c r="O74" s="63"/>
      <c r="P74" s="62" t="str">
        <f>IFERROR(__xludf.DUMMYFUNCTION("iferror(SPLIT(Tracker!R75,CHAR(10)),"""")"),"5 Soldier Construct IV Horn")</f>
        <v>5 Soldier Construct IV Horn</v>
      </c>
      <c r="Q74" s="62" t="str">
        <f>IFERROR(__xludf.DUMMYFUNCTION("""COMPUTED_VALUE"""),"5 Captain Construct III Horn")</f>
        <v>5 Captain Construct III Horn</v>
      </c>
      <c r="R74" s="62" t="str">
        <f>IFERROR(__xludf.DUMMYFUNCTION("""COMPUTED_VALUE"""),"10 Large Zonaite")</f>
        <v>10 Large Zonaite</v>
      </c>
      <c r="S74" s="62"/>
      <c r="T74" s="63"/>
      <c r="U74" s="62" t="str">
        <f>IFERROR(__xludf.DUMMYFUNCTION("""COMPUTED_VALUE"""),"3 Hinox Guts")</f>
        <v>3 Hinox Guts</v>
      </c>
      <c r="V74" s="62">
        <f>IFERROR(__xludf.DUMMYFUNCTION("SPLIT(U74,"" "")"),3.0)</f>
        <v>3</v>
      </c>
      <c r="W74" s="62" t="str">
        <f>IFERROR(__xludf.DUMMYFUNCTION("""COMPUTED_VALUE"""),"Hinox")</f>
        <v>Hinox</v>
      </c>
      <c r="X74" s="62" t="str">
        <f>IFERROR(__xludf.DUMMYFUNCTION("""COMPUTED_VALUE"""),"Guts")</f>
        <v>Guts</v>
      </c>
      <c r="Y74" s="62"/>
      <c r="Z74" s="62"/>
      <c r="AA74" s="62"/>
      <c r="AB74" s="63"/>
      <c r="AC74" s="62" t="str">
        <f t="shared" si="2"/>
        <v>Hinox Guts</v>
      </c>
    </row>
    <row r="75">
      <c r="A75" s="62" t="str">
        <f>IFERROR(__xludf.DUMMYFUNCTION("iferror(SPLIT(Tracker!L76,CHAR(10)),"""")"),"10 Amber")</f>
        <v>10 Amber</v>
      </c>
      <c r="B75" s="62" t="str">
        <f>IFERROR(__xludf.DUMMYFUNCTION("""COMPUTED_VALUE"""),"5 Flint")</f>
        <v>5 Flint</v>
      </c>
      <c r="C75" s="62"/>
      <c r="D75" s="62"/>
      <c r="E75" s="63"/>
      <c r="F75" s="62" t="str">
        <f>IFERROR(__xludf.DUMMYFUNCTION("iferror(SPLIT(Tracker!N76,CHAR(10)),"""")"),"20 Amber")</f>
        <v>20 Amber</v>
      </c>
      <c r="G75" s="62" t="str">
        <f>IFERROR(__xludf.DUMMYFUNCTION("""COMPUTED_VALUE"""),"10 Flint")</f>
        <v>10 Flint</v>
      </c>
      <c r="H75" s="62"/>
      <c r="I75" s="62"/>
      <c r="J75" s="63"/>
      <c r="K75" s="62" t="str">
        <f>IFERROR(__xludf.DUMMYFUNCTION("iferror(SPLIT(Tracker!P76,CHAR(10)),"""")"),"35 Amber")</f>
        <v>35 Amber</v>
      </c>
      <c r="L75" s="62" t="str">
        <f>IFERROR(__xludf.DUMMYFUNCTION("""COMPUTED_VALUE"""),"15 Flint")</f>
        <v>15 Flint</v>
      </c>
      <c r="M75" s="62"/>
      <c r="N75" s="62"/>
      <c r="O75" s="63"/>
      <c r="P75" s="62" t="str">
        <f>IFERROR(__xludf.DUMMYFUNCTION("iferror(SPLIT(Tracker!R76,CHAR(10)),"""")"),"60 Amber")</f>
        <v>60 Amber</v>
      </c>
      <c r="Q75" s="62" t="str">
        <f>IFERROR(__xludf.DUMMYFUNCTION("""COMPUTED_VALUE"""),"25 Flint")</f>
        <v>25 Flint</v>
      </c>
      <c r="R75" s="62"/>
      <c r="S75" s="62"/>
      <c r="T75" s="63"/>
      <c r="U75" s="62" t="str">
        <f>IFERROR(__xludf.DUMMYFUNCTION("""COMPUTED_VALUE"""),"30 Flint")</f>
        <v>30 Flint</v>
      </c>
      <c r="V75" s="62">
        <f>IFERROR(__xludf.DUMMYFUNCTION("SPLIT(U75,"" "")"),30.0)</f>
        <v>30</v>
      </c>
      <c r="W75" s="62" t="str">
        <f>IFERROR(__xludf.DUMMYFUNCTION("""COMPUTED_VALUE"""),"Flint")</f>
        <v>Flint</v>
      </c>
      <c r="X75" s="62"/>
      <c r="Y75" s="62"/>
      <c r="Z75" s="62"/>
      <c r="AA75" s="62"/>
      <c r="AB75" s="63"/>
      <c r="AC75" s="62" t="str">
        <f t="shared" si="2"/>
        <v>Flint</v>
      </c>
    </row>
    <row r="76">
      <c r="A76" s="62" t="str">
        <f>IFERROR(__xludf.DUMMYFUNCTION("iferror(SPLIT(Tracker!L77,CHAR(10)),"""")"),"2 Diamond")</f>
        <v>2 Diamond</v>
      </c>
      <c r="B76" s="62" t="str">
        <f>IFERROR(__xludf.DUMMYFUNCTION("""COMPUTED_VALUE"""),"3 Flint")</f>
        <v>3 Flint</v>
      </c>
      <c r="C76" s="62"/>
      <c r="D76" s="62"/>
      <c r="E76" s="63"/>
      <c r="F76" s="62" t="str">
        <f>IFERROR(__xludf.DUMMYFUNCTION("iferror(SPLIT(Tracker!N77,CHAR(10)),"""")"),"3 Diamond")</f>
        <v>3 Diamond</v>
      </c>
      <c r="G76" s="62" t="str">
        <f>IFERROR(__xludf.DUMMYFUNCTION("""COMPUTED_VALUE"""),"5 Flint")</f>
        <v>5 Flint</v>
      </c>
      <c r="H76" s="62"/>
      <c r="I76" s="62"/>
      <c r="J76" s="63"/>
      <c r="K76" s="62" t="str">
        <f>IFERROR(__xludf.DUMMYFUNCTION("iferror(SPLIT(Tracker!P77,CHAR(10)),"""")"),"5 Diamond")</f>
        <v>5 Diamond</v>
      </c>
      <c r="L76" s="62" t="str">
        <f>IFERROR(__xludf.DUMMYFUNCTION("""COMPUTED_VALUE"""),"1 Star Fragment")</f>
        <v>1 Star Fragment</v>
      </c>
      <c r="M76" s="62"/>
      <c r="N76" s="62"/>
      <c r="O76" s="63"/>
      <c r="P76" s="62" t="str">
        <f>IFERROR(__xludf.DUMMYFUNCTION("iferror(SPLIT(Tracker!R77,CHAR(10)),"""")"),"8 Diamond")</f>
        <v>8 Diamond</v>
      </c>
      <c r="Q76" s="62" t="str">
        <f>IFERROR(__xludf.DUMMYFUNCTION("""COMPUTED_VALUE"""),"2 Star Fragment")</f>
        <v>2 Star Fragment</v>
      </c>
      <c r="R76" s="62"/>
      <c r="S76" s="62"/>
      <c r="T76" s="63"/>
      <c r="U76" s="62" t="str">
        <f>IFERROR(__xludf.DUMMYFUNCTION("""COMPUTED_VALUE"""),"5 Lynel Hoof")</f>
        <v>5 Lynel Hoof</v>
      </c>
      <c r="V76" s="62">
        <f>IFERROR(__xludf.DUMMYFUNCTION("SPLIT(U76,"" "")"),5.0)</f>
        <v>5</v>
      </c>
      <c r="W76" s="62" t="str">
        <f>IFERROR(__xludf.DUMMYFUNCTION("""COMPUTED_VALUE"""),"Lynel")</f>
        <v>Lynel</v>
      </c>
      <c r="X76" s="62" t="str">
        <f>IFERROR(__xludf.DUMMYFUNCTION("""COMPUTED_VALUE"""),"Hoof")</f>
        <v>Hoof</v>
      </c>
      <c r="Y76" s="62"/>
      <c r="Z76" s="62"/>
      <c r="AA76" s="62"/>
      <c r="AB76" s="63"/>
      <c r="AC76" s="62" t="str">
        <f t="shared" si="2"/>
        <v>Lynel Hoof</v>
      </c>
    </row>
    <row r="77">
      <c r="A77" s="62" t="str">
        <f>IFERROR(__xludf.DUMMYFUNCTION("iferror(SPLIT(Tracker!L78,CHAR(10)),"""")"),"2 Ruby")</f>
        <v>2 Ruby</v>
      </c>
      <c r="B77" s="62" t="str">
        <f>IFERROR(__xludf.DUMMYFUNCTION("""COMPUTED_VALUE"""),"3 Flint")</f>
        <v>3 Flint</v>
      </c>
      <c r="C77" s="62"/>
      <c r="D77" s="62"/>
      <c r="E77" s="63"/>
      <c r="F77" s="62" t="str">
        <f>IFERROR(__xludf.DUMMYFUNCTION("iferror(SPLIT(Tracker!N78,CHAR(10)),"""")"),"4 Ruby")</f>
        <v>4 Ruby</v>
      </c>
      <c r="G77" s="62" t="str">
        <f>IFERROR(__xludf.DUMMYFUNCTION("""COMPUTED_VALUE"""),"5 Flint")</f>
        <v>5 Flint</v>
      </c>
      <c r="H77" s="62"/>
      <c r="I77" s="62"/>
      <c r="J77" s="63"/>
      <c r="K77" s="62" t="str">
        <f>IFERROR(__xludf.DUMMYFUNCTION("iferror(SPLIT(Tracker!P78,CHAR(10)),"""")"),"6 Ruby")</f>
        <v>6 Ruby</v>
      </c>
      <c r="L77" s="62" t="str">
        <f>IFERROR(__xludf.DUMMYFUNCTION("""COMPUTED_VALUE"""),"1 Star Fragment")</f>
        <v>1 Star Fragment</v>
      </c>
      <c r="M77" s="62"/>
      <c r="N77" s="62"/>
      <c r="O77" s="63"/>
      <c r="P77" s="62" t="str">
        <f>IFERROR(__xludf.DUMMYFUNCTION("iferror(SPLIT(Tracker!R78,CHAR(10)),"""")"),"10 Ruby")</f>
        <v>10 Ruby</v>
      </c>
      <c r="Q77" s="62" t="str">
        <f>IFERROR(__xludf.DUMMYFUNCTION("""COMPUTED_VALUE"""),"2 Star Fragment")</f>
        <v>2 Star Fragment</v>
      </c>
      <c r="R77" s="62"/>
      <c r="S77" s="62"/>
      <c r="T77" s="63"/>
      <c r="U77" s="62" t="str">
        <f>IFERROR(__xludf.DUMMYFUNCTION("""COMPUTED_VALUE"""),"5 Lynel Guts")</f>
        <v>5 Lynel Guts</v>
      </c>
      <c r="V77" s="62">
        <f>IFERROR(__xludf.DUMMYFUNCTION("SPLIT(U77,"" "")"),5.0)</f>
        <v>5</v>
      </c>
      <c r="W77" s="62" t="str">
        <f>IFERROR(__xludf.DUMMYFUNCTION("""COMPUTED_VALUE"""),"Lynel")</f>
        <v>Lynel</v>
      </c>
      <c r="X77" s="62" t="str">
        <f>IFERROR(__xludf.DUMMYFUNCTION("""COMPUTED_VALUE"""),"Guts")</f>
        <v>Guts</v>
      </c>
      <c r="Y77" s="62"/>
      <c r="Z77" s="62"/>
      <c r="AA77" s="62"/>
      <c r="AB77" s="63"/>
      <c r="AC77" s="62" t="str">
        <f t="shared" si="2"/>
        <v>Lynel Guts</v>
      </c>
    </row>
    <row r="78">
      <c r="A78" s="62" t="str">
        <f>IFERROR(__xludf.DUMMYFUNCTION("iferror(SPLIT(Tracker!L79,CHAR(10)),"""")"),"2 Sapphire")</f>
        <v>2 Sapphire</v>
      </c>
      <c r="B78" s="62" t="str">
        <f>IFERROR(__xludf.DUMMYFUNCTION("""COMPUTED_VALUE"""),"3 Flint")</f>
        <v>3 Flint</v>
      </c>
      <c r="C78" s="62"/>
      <c r="D78" s="62"/>
      <c r="E78" s="63"/>
      <c r="F78" s="62" t="str">
        <f>IFERROR(__xludf.DUMMYFUNCTION("iferror(SPLIT(Tracker!N79,CHAR(10)),"""")"),"4 Sapphire")</f>
        <v>4 Sapphire</v>
      </c>
      <c r="G78" s="62" t="str">
        <f>IFERROR(__xludf.DUMMYFUNCTION("""COMPUTED_VALUE"""),"5 Flint")</f>
        <v>5 Flint</v>
      </c>
      <c r="H78" s="62"/>
      <c r="I78" s="62"/>
      <c r="J78" s="63"/>
      <c r="K78" s="62" t="str">
        <f>IFERROR(__xludf.DUMMYFUNCTION("iferror(SPLIT(Tracker!P79,CHAR(10)),"""")"),"6 Sapphire")</f>
        <v>6 Sapphire</v>
      </c>
      <c r="L78" s="62" t="str">
        <f>IFERROR(__xludf.DUMMYFUNCTION("""COMPUTED_VALUE"""),"1 Star Fragment")</f>
        <v>1 Star Fragment</v>
      </c>
      <c r="M78" s="62"/>
      <c r="N78" s="62"/>
      <c r="O78" s="63"/>
      <c r="P78" s="62" t="str">
        <f>IFERROR(__xludf.DUMMYFUNCTION("iferror(SPLIT(Tracker!R79,CHAR(10)),"""")"),"10 Sapphire")</f>
        <v>10 Sapphire</v>
      </c>
      <c r="Q78" s="62" t="str">
        <f>IFERROR(__xludf.DUMMYFUNCTION("""COMPUTED_VALUE"""),"2 Star Fragment")</f>
        <v>2 Star Fragment</v>
      </c>
      <c r="R78" s="62"/>
      <c r="S78" s="62"/>
      <c r="T78" s="63"/>
      <c r="U78" s="62" t="str">
        <f>IFERROR(__xludf.DUMMYFUNCTION("""COMPUTED_VALUE"""),"30 Amber")</f>
        <v>30 Amber</v>
      </c>
      <c r="V78" s="62">
        <f>IFERROR(__xludf.DUMMYFUNCTION("SPLIT(U78,"" "")"),30.0)</f>
        <v>30</v>
      </c>
      <c r="W78" s="62" t="str">
        <f>IFERROR(__xludf.DUMMYFUNCTION("""COMPUTED_VALUE"""),"Amber")</f>
        <v>Amber</v>
      </c>
      <c r="X78" s="62"/>
      <c r="Y78" s="62"/>
      <c r="Z78" s="62"/>
      <c r="AA78" s="62"/>
      <c r="AB78" s="63"/>
      <c r="AC78" s="62" t="str">
        <f t="shared" si="2"/>
        <v>Amber</v>
      </c>
    </row>
    <row r="79">
      <c r="A79" s="62" t="str">
        <f>IFERROR(__xludf.DUMMYFUNCTION("iferror(SPLIT(Tracker!L80,CHAR(10)),"""")"),"2 Topaz")</f>
        <v>2 Topaz</v>
      </c>
      <c r="B79" s="62" t="str">
        <f>IFERROR(__xludf.DUMMYFUNCTION("""COMPUTED_VALUE"""),"3 Flint")</f>
        <v>3 Flint</v>
      </c>
      <c r="C79" s="62"/>
      <c r="D79" s="62"/>
      <c r="E79" s="63"/>
      <c r="F79" s="62" t="str">
        <f>IFERROR(__xludf.DUMMYFUNCTION("iferror(SPLIT(Tracker!N80,CHAR(10)),"""")"),"4 Topaz")</f>
        <v>4 Topaz</v>
      </c>
      <c r="G79" s="62" t="str">
        <f>IFERROR(__xludf.DUMMYFUNCTION("""COMPUTED_VALUE"""),"5 Flint")</f>
        <v>5 Flint</v>
      </c>
      <c r="H79" s="62"/>
      <c r="I79" s="62"/>
      <c r="J79" s="63"/>
      <c r="K79" s="62" t="str">
        <f>IFERROR(__xludf.DUMMYFUNCTION("iferror(SPLIT(Tracker!P80,CHAR(10)),"""")"),"6 Topaz")</f>
        <v>6 Topaz</v>
      </c>
      <c r="L79" s="62" t="str">
        <f>IFERROR(__xludf.DUMMYFUNCTION("""COMPUTED_VALUE"""),"1 Star Fragment")</f>
        <v>1 Star Fragment</v>
      </c>
      <c r="M79" s="62"/>
      <c r="N79" s="62"/>
      <c r="O79" s="63"/>
      <c r="P79" s="62" t="str">
        <f>IFERROR(__xludf.DUMMYFUNCTION("iferror(SPLIT(Tracker!R80,CHAR(10)),"""")"),"10 Topaz")</f>
        <v>10 Topaz</v>
      </c>
      <c r="Q79" s="62" t="str">
        <f>IFERROR(__xludf.DUMMYFUNCTION("""COMPUTED_VALUE"""),"2 Star Fragment")</f>
        <v>2 Star Fragment</v>
      </c>
      <c r="R79" s="62"/>
      <c r="S79" s="62"/>
      <c r="T79" s="63"/>
      <c r="U79" s="62" t="str">
        <f>IFERROR(__xludf.DUMMYFUNCTION("""COMPUTED_VALUE"""),"3 Red Chuchu Jelly")</f>
        <v>3 Red Chuchu Jelly</v>
      </c>
      <c r="V79" s="62">
        <f>IFERROR(__xludf.DUMMYFUNCTION("SPLIT(U79,"" "")"),3.0)</f>
        <v>3</v>
      </c>
      <c r="W79" s="62" t="str">
        <f>IFERROR(__xludf.DUMMYFUNCTION("""COMPUTED_VALUE"""),"Red")</f>
        <v>Red</v>
      </c>
      <c r="X79" s="62" t="str">
        <f>IFERROR(__xludf.DUMMYFUNCTION("""COMPUTED_VALUE"""),"Chuchu")</f>
        <v>Chuchu</v>
      </c>
      <c r="Y79" s="62" t="str">
        <f>IFERROR(__xludf.DUMMYFUNCTION("""COMPUTED_VALUE"""),"Jelly")</f>
        <v>Jelly</v>
      </c>
      <c r="Z79" s="62"/>
      <c r="AA79" s="62"/>
      <c r="AB79" s="63"/>
      <c r="AC79" s="62" t="str">
        <f t="shared" si="2"/>
        <v>Red Chuchu Jelly</v>
      </c>
    </row>
    <row r="80">
      <c r="A80" s="62" t="str">
        <f>IFERROR(__xludf.DUMMYFUNCTION("iferror(SPLIT(Tracker!L81,CHAR(10)),"""")"),"6 Opal")</f>
        <v>6 Opal</v>
      </c>
      <c r="B80" s="62" t="str">
        <f>IFERROR(__xludf.DUMMYFUNCTION("""COMPUTED_VALUE"""),"5 Flint")</f>
        <v>5 Flint</v>
      </c>
      <c r="C80" s="62"/>
      <c r="D80" s="62"/>
      <c r="E80" s="63"/>
      <c r="F80" s="62" t="str">
        <f>IFERROR(__xludf.DUMMYFUNCTION("iferror(SPLIT(Tracker!N81,CHAR(10)),"""")"),"12 Opal")</f>
        <v>12 Opal</v>
      </c>
      <c r="G80" s="62" t="str">
        <f>IFERROR(__xludf.DUMMYFUNCTION("""COMPUTED_VALUE"""),"10 Flint")</f>
        <v>10 Flint</v>
      </c>
      <c r="H80" s="62"/>
      <c r="I80" s="62"/>
      <c r="J80" s="63"/>
      <c r="K80" s="62" t="str">
        <f>IFERROR(__xludf.DUMMYFUNCTION("iferror(SPLIT(Tracker!P81,CHAR(10)),"""")"),"18 Opal")</f>
        <v>18 Opal</v>
      </c>
      <c r="L80" s="62" t="str">
        <f>IFERROR(__xludf.DUMMYFUNCTION("""COMPUTED_VALUE"""),"15 Flint")</f>
        <v>15 Flint</v>
      </c>
      <c r="M80" s="62"/>
      <c r="N80" s="62"/>
      <c r="O80" s="63"/>
      <c r="P80" s="62" t="str">
        <f>IFERROR(__xludf.DUMMYFUNCTION("iferror(SPLIT(Tracker!R81,CHAR(10)),"""")"),"30 Opal")</f>
        <v>30 Opal</v>
      </c>
      <c r="Q80" s="62" t="str">
        <f>IFERROR(__xludf.DUMMYFUNCTION("""COMPUTED_VALUE"""),"25 Flint")</f>
        <v>25 Flint</v>
      </c>
      <c r="R80" s="62"/>
      <c r="S80" s="62"/>
      <c r="T80" s="63"/>
      <c r="U80" s="62" t="str">
        <f>IFERROR(__xludf.DUMMYFUNCTION("""COMPUTED_VALUE"""),"5 Red Chuchu Jelly")</f>
        <v>5 Red Chuchu Jelly</v>
      </c>
      <c r="V80" s="62">
        <f>IFERROR(__xludf.DUMMYFUNCTION("SPLIT(U80,"" "")"),5.0)</f>
        <v>5</v>
      </c>
      <c r="W80" s="62" t="str">
        <f>IFERROR(__xludf.DUMMYFUNCTION("""COMPUTED_VALUE"""),"Red")</f>
        <v>Red</v>
      </c>
      <c r="X80" s="62" t="str">
        <f>IFERROR(__xludf.DUMMYFUNCTION("""COMPUTED_VALUE"""),"Chuchu")</f>
        <v>Chuchu</v>
      </c>
      <c r="Y80" s="62" t="str">
        <f>IFERROR(__xludf.DUMMYFUNCTION("""COMPUTED_VALUE"""),"Jelly")</f>
        <v>Jelly</v>
      </c>
      <c r="Z80" s="62"/>
      <c r="AA80" s="62"/>
      <c r="AB80" s="63"/>
      <c r="AC80" s="62" t="str">
        <f t="shared" si="2"/>
        <v>Red Chuchu Jelly</v>
      </c>
    </row>
    <row r="81">
      <c r="A81" s="62" t="str">
        <f>IFERROR(__xludf.DUMMYFUNCTION("iferror(SPLIT(Tracker!L82,CHAR(10)),"""")"),"N/A")</f>
        <v>N/A</v>
      </c>
      <c r="B81" s="62"/>
      <c r="C81" s="62"/>
      <c r="D81" s="62"/>
      <c r="E81" s="63"/>
      <c r="F81" s="62" t="str">
        <f>IFERROR(__xludf.DUMMYFUNCTION("iferror(SPLIT(Tracker!N82,CHAR(10)),"""")"),"N/A")</f>
        <v>N/A</v>
      </c>
      <c r="G81" s="62"/>
      <c r="H81" s="62"/>
      <c r="I81" s="62"/>
      <c r="J81" s="63"/>
      <c r="K81" s="62" t="str">
        <f>IFERROR(__xludf.DUMMYFUNCTION("iferror(SPLIT(Tracker!P82,CHAR(10)),"""")"),"N/A")</f>
        <v>N/A</v>
      </c>
      <c r="L81" s="62"/>
      <c r="M81" s="62"/>
      <c r="N81" s="62"/>
      <c r="O81" s="63"/>
      <c r="P81" s="62" t="str">
        <f>IFERROR(__xludf.DUMMYFUNCTION("iferror(SPLIT(Tracker!R82,CHAR(10)),"""")"),"N/A")</f>
        <v>N/A</v>
      </c>
      <c r="Q81" s="62"/>
      <c r="R81" s="62"/>
      <c r="S81" s="62"/>
      <c r="T81" s="63"/>
      <c r="U81" s="62" t="str">
        <f>IFERROR(__xludf.DUMMYFUNCTION("""COMPUTED_VALUE"""),"3 Warm Safflina")</f>
        <v>3 Warm Safflina</v>
      </c>
      <c r="V81" s="62">
        <f>IFERROR(__xludf.DUMMYFUNCTION("SPLIT(U81,"" "")"),3.0)</f>
        <v>3</v>
      </c>
      <c r="W81" s="62" t="str">
        <f>IFERROR(__xludf.DUMMYFUNCTION("""COMPUTED_VALUE"""),"Warm")</f>
        <v>Warm</v>
      </c>
      <c r="X81" s="62" t="str">
        <f>IFERROR(__xludf.DUMMYFUNCTION("""COMPUTED_VALUE"""),"Safflina")</f>
        <v>Safflina</v>
      </c>
      <c r="Y81" s="62"/>
      <c r="Z81" s="62"/>
      <c r="AA81" s="62"/>
      <c r="AB81" s="63"/>
      <c r="AC81" s="62" t="str">
        <f t="shared" si="2"/>
        <v>Warm Safflina</v>
      </c>
    </row>
    <row r="82">
      <c r="A82" s="62" t="str">
        <f>IFERROR(__xludf.DUMMYFUNCTION("iferror(SPLIT(Tracker!L83,CHAR(10)),"""")"),"N/A")</f>
        <v>N/A</v>
      </c>
      <c r="B82" s="62"/>
      <c r="C82" s="62"/>
      <c r="D82" s="62"/>
      <c r="E82" s="63"/>
      <c r="F82" s="62" t="str">
        <f>IFERROR(__xludf.DUMMYFUNCTION("iferror(SPLIT(Tracker!N83,CHAR(10)),"""")"),"N/A")</f>
        <v>N/A</v>
      </c>
      <c r="G82" s="62"/>
      <c r="H82" s="62"/>
      <c r="I82" s="62"/>
      <c r="J82" s="63"/>
      <c r="K82" s="62" t="str">
        <f>IFERROR(__xludf.DUMMYFUNCTION("iferror(SPLIT(Tracker!P83,CHAR(10)),"""")"),"N/A")</f>
        <v>N/A</v>
      </c>
      <c r="L82" s="62"/>
      <c r="M82" s="62"/>
      <c r="N82" s="62"/>
      <c r="O82" s="63"/>
      <c r="P82" s="62" t="str">
        <f>IFERROR(__xludf.DUMMYFUNCTION("iferror(SPLIT(Tracker!R83,CHAR(10)),"""")"),"N/A")</f>
        <v>N/A</v>
      </c>
      <c r="Q82" s="62"/>
      <c r="R82" s="62"/>
      <c r="S82" s="62"/>
      <c r="T82" s="63"/>
      <c r="U82" s="62" t="str">
        <f>IFERROR(__xludf.DUMMYFUNCTION("""COMPUTED_VALUE"""),"5 Fire Keese Wing")</f>
        <v>5 Fire Keese Wing</v>
      </c>
      <c r="V82" s="62">
        <f>IFERROR(__xludf.DUMMYFUNCTION("SPLIT(U82,"" "")"),5.0)</f>
        <v>5</v>
      </c>
      <c r="W82" s="62" t="str">
        <f>IFERROR(__xludf.DUMMYFUNCTION("""COMPUTED_VALUE"""),"Fire")</f>
        <v>Fire</v>
      </c>
      <c r="X82" s="62" t="str">
        <f>IFERROR(__xludf.DUMMYFUNCTION("""COMPUTED_VALUE"""),"Keese")</f>
        <v>Keese</v>
      </c>
      <c r="Y82" s="62" t="str">
        <f>IFERROR(__xludf.DUMMYFUNCTION("""COMPUTED_VALUE"""),"Wing")</f>
        <v>Wing</v>
      </c>
      <c r="Z82" s="62"/>
      <c r="AA82" s="62"/>
      <c r="AB82" s="63"/>
      <c r="AC82" s="62" t="str">
        <f t="shared" si="2"/>
        <v>Fire Keese Wing</v>
      </c>
    </row>
    <row r="83">
      <c r="A83" s="62" t="str">
        <f>IFERROR(__xludf.DUMMYFUNCTION("iferror(SPLIT(Tracker!L84,CHAR(10)),"""")"),"N/A")</f>
        <v>N/A</v>
      </c>
      <c r="B83" s="62"/>
      <c r="C83" s="62"/>
      <c r="D83" s="62"/>
      <c r="E83" s="63"/>
      <c r="F83" s="62" t="str">
        <f>IFERROR(__xludf.DUMMYFUNCTION("iferror(SPLIT(Tracker!N84,CHAR(10)),"""")"),"N/A")</f>
        <v>N/A</v>
      </c>
      <c r="G83" s="62"/>
      <c r="H83" s="62"/>
      <c r="I83" s="62"/>
      <c r="J83" s="63"/>
      <c r="K83" s="62" t="str">
        <f>IFERROR(__xludf.DUMMYFUNCTION("iferror(SPLIT(Tracker!P84,CHAR(10)),"""")"),"N/A")</f>
        <v>N/A</v>
      </c>
      <c r="L83" s="62"/>
      <c r="M83" s="62"/>
      <c r="N83" s="62"/>
      <c r="O83" s="63"/>
      <c r="P83" s="62" t="str">
        <f>IFERROR(__xludf.DUMMYFUNCTION("iferror(SPLIT(Tracker!R84,CHAR(10)),"""")"),"N/A")</f>
        <v>N/A</v>
      </c>
      <c r="Q83" s="62"/>
      <c r="R83" s="62"/>
      <c r="S83" s="62"/>
      <c r="T83" s="63"/>
      <c r="U83" s="62" t="str">
        <f>IFERROR(__xludf.DUMMYFUNCTION("""COMPUTED_VALUE"""),"3 Fire-Breath Lizalfos Tail")</f>
        <v>3 Fire-Breath Lizalfos Tail</v>
      </c>
      <c r="V83" s="62">
        <f>IFERROR(__xludf.DUMMYFUNCTION("SPLIT(U83,"" "")"),3.0)</f>
        <v>3</v>
      </c>
      <c r="W83" s="62" t="str">
        <f>IFERROR(__xludf.DUMMYFUNCTION("""COMPUTED_VALUE"""),"Fire-Breath")</f>
        <v>Fire-Breath</v>
      </c>
      <c r="X83" s="62" t="str">
        <f>IFERROR(__xludf.DUMMYFUNCTION("""COMPUTED_VALUE"""),"Lizalfos")</f>
        <v>Lizalfos</v>
      </c>
      <c r="Y83" s="62" t="str">
        <f>IFERROR(__xludf.DUMMYFUNCTION("""COMPUTED_VALUE"""),"Tail")</f>
        <v>Tail</v>
      </c>
      <c r="Z83" s="62"/>
      <c r="AA83" s="62"/>
      <c r="AB83" s="63"/>
      <c r="AC83" s="62" t="str">
        <f t="shared" si="2"/>
        <v>Fire-Breath Lizalfos Tail</v>
      </c>
    </row>
    <row r="84">
      <c r="A84" s="62" t="str">
        <f>IFERROR(__xludf.DUMMYFUNCTION("iferror(SPLIT(Tracker!L85,CHAR(10)),"""")"),"3 Hightail Lizard")</f>
        <v>3 Hightail Lizard</v>
      </c>
      <c r="B84" s="62"/>
      <c r="C84" s="62"/>
      <c r="D84" s="62"/>
      <c r="E84" s="63"/>
      <c r="F84" s="62" t="str">
        <f>IFERROR(__xludf.DUMMYFUNCTION("iferror(SPLIT(Tracker!N85,CHAR(10)),"""")"),"20 Gibdo Bone")</f>
        <v>20 Gibdo Bone</v>
      </c>
      <c r="G84" s="62" t="str">
        <f>IFERROR(__xludf.DUMMYFUNCTION("""COMPUTED_VALUE"""),"5 Swift Carrot")</f>
        <v>5 Swift Carrot</v>
      </c>
      <c r="H84" s="62"/>
      <c r="I84" s="62"/>
      <c r="J84" s="63"/>
      <c r="K84" s="62" t="str">
        <f>IFERROR(__xludf.DUMMYFUNCTION("iferror(SPLIT(Tracker!P85,CHAR(10)),"""")"),"5 Gibdo Guts")</f>
        <v>5 Gibdo Guts</v>
      </c>
      <c r="L84" s="62" t="str">
        <f>IFERROR(__xludf.DUMMYFUNCTION("""COMPUTED_VALUE"""),"10 Rushroom")</f>
        <v>10 Rushroom</v>
      </c>
      <c r="M84" s="62" t="str">
        <f>IFERROR(__xludf.DUMMYFUNCTION("""COMPUTED_VALUE"""),"5 Molduga Fin")</f>
        <v>5 Molduga Fin</v>
      </c>
      <c r="N84" s="62"/>
      <c r="O84" s="63"/>
      <c r="P84" s="62" t="str">
        <f>IFERROR(__xludf.DUMMYFUNCTION("iferror(SPLIT(Tracker!R85,CHAR(10)),"""")"),"5 Molduga Guts")</f>
        <v>5 Molduga Guts</v>
      </c>
      <c r="Q84" s="62" t="str">
        <f>IFERROR(__xludf.DUMMYFUNCTION("""COMPUTED_VALUE"""),"10 Swift Violet")</f>
        <v>10 Swift Violet</v>
      </c>
      <c r="R84" s="62" t="str">
        <f>IFERROR(__xludf.DUMMYFUNCTION("""COMPUTED_VALUE"""),"5 Hearty Lizard")</f>
        <v>5 Hearty Lizard</v>
      </c>
      <c r="S84" s="62"/>
      <c r="T84" s="63"/>
      <c r="U84" s="62" t="str">
        <f>IFERROR(__xludf.DUMMYFUNCTION("""COMPUTED_VALUE"""),"5 Sunshroom")</f>
        <v>5 Sunshroom</v>
      </c>
      <c r="V84" s="62">
        <f>IFERROR(__xludf.DUMMYFUNCTION("SPLIT(U84,"" "")"),5.0)</f>
        <v>5</v>
      </c>
      <c r="W84" s="62" t="str">
        <f>IFERROR(__xludf.DUMMYFUNCTION("""COMPUTED_VALUE"""),"Sunshroom")</f>
        <v>Sunshroom</v>
      </c>
      <c r="X84" s="62"/>
      <c r="Y84" s="62"/>
      <c r="Z84" s="62"/>
      <c r="AA84" s="62"/>
      <c r="AB84" s="63"/>
      <c r="AC84" s="62" t="str">
        <f t="shared" si="2"/>
        <v>Sunshroom</v>
      </c>
    </row>
    <row r="85">
      <c r="A85" s="62" t="str">
        <f>IFERROR(__xludf.DUMMYFUNCTION("iferror(SPLIT(Tracker!L86,CHAR(10)),"""")"),"3 Hightail Lizard")</f>
        <v>3 Hightail Lizard</v>
      </c>
      <c r="B85" s="62"/>
      <c r="C85" s="62"/>
      <c r="D85" s="62"/>
      <c r="E85" s="63"/>
      <c r="F85" s="62" t="str">
        <f>IFERROR(__xludf.DUMMYFUNCTION("iferror(SPLIT(Tracker!N86,CHAR(10)),"""")"),"5 Octorok Tentacle")</f>
        <v>5 Octorok Tentacle</v>
      </c>
      <c r="G85" s="62" t="str">
        <f>IFERROR(__xludf.DUMMYFUNCTION("""COMPUTED_VALUE"""),"5 Swift Carrot")</f>
        <v>5 Swift Carrot</v>
      </c>
      <c r="H85" s="62"/>
      <c r="I85" s="62"/>
      <c r="J85" s="63"/>
      <c r="K85" s="62" t="str">
        <f>IFERROR(__xludf.DUMMYFUNCTION("iferror(SPLIT(Tracker!P86,CHAR(10)),"""")"),"5 Octo Balloon")</f>
        <v>5 Octo Balloon</v>
      </c>
      <c r="L85" s="62" t="str">
        <f>IFERROR(__xludf.DUMMYFUNCTION("""COMPUTED_VALUE"""),"20 Rushroom")</f>
        <v>20 Rushroom</v>
      </c>
      <c r="M85" s="62"/>
      <c r="N85" s="62"/>
      <c r="O85" s="63"/>
      <c r="P85" s="62" t="str">
        <f>IFERROR(__xludf.DUMMYFUNCTION("iferror(SPLIT(Tracker!R86,CHAR(10)),"""")"),"2 Naydra's Scale")</f>
        <v>2 Naydra's Scale</v>
      </c>
      <c r="Q85" s="62" t="str">
        <f>IFERROR(__xludf.DUMMYFUNCTION("""COMPUTED_VALUE"""),"20 Swift Violet")</f>
        <v>20 Swift Violet</v>
      </c>
      <c r="R85" s="62"/>
      <c r="S85" s="62"/>
      <c r="T85" s="63"/>
      <c r="U85" s="62" t="str">
        <f>IFERROR(__xludf.DUMMYFUNCTION("""COMPUTED_VALUE"""),"5 Fire-Breath Lizalfos Horn")</f>
        <v>5 Fire-Breath Lizalfos Horn</v>
      </c>
      <c r="V85" s="62">
        <f>IFERROR(__xludf.DUMMYFUNCTION("SPLIT(U85,"" "")"),5.0)</f>
        <v>5</v>
      </c>
      <c r="W85" s="62" t="str">
        <f>IFERROR(__xludf.DUMMYFUNCTION("""COMPUTED_VALUE"""),"Fire-Breath")</f>
        <v>Fire-Breath</v>
      </c>
      <c r="X85" s="62" t="str">
        <f>IFERROR(__xludf.DUMMYFUNCTION("""COMPUTED_VALUE"""),"Lizalfos")</f>
        <v>Lizalfos</v>
      </c>
      <c r="Y85" s="62" t="str">
        <f>IFERROR(__xludf.DUMMYFUNCTION("""COMPUTED_VALUE"""),"Horn")</f>
        <v>Horn</v>
      </c>
      <c r="Z85" s="62"/>
      <c r="AA85" s="62"/>
      <c r="AB85" s="63"/>
      <c r="AC85" s="62" t="str">
        <f t="shared" si="2"/>
        <v>Fire-Breath Lizalfos Horn</v>
      </c>
    </row>
    <row r="86">
      <c r="A86" s="62" t="str">
        <f>IFERROR(__xludf.DUMMYFUNCTION("iferror(SPLIT(Tracker!L87,CHAR(10)),"""")"),"N/A")</f>
        <v>N/A</v>
      </c>
      <c r="B86" s="62"/>
      <c r="C86" s="62"/>
      <c r="D86" s="62"/>
      <c r="E86" s="63"/>
      <c r="F86" s="62" t="str">
        <f>IFERROR(__xludf.DUMMYFUNCTION("iferror(SPLIT(Tracker!N87,CHAR(10)),"""")"),"N/A")</f>
        <v>N/A</v>
      </c>
      <c r="G86" s="62"/>
      <c r="H86" s="62"/>
      <c r="I86" s="62"/>
      <c r="J86" s="63"/>
      <c r="K86" s="62" t="str">
        <f>IFERROR(__xludf.DUMMYFUNCTION("iferror(SPLIT(Tracker!P87,CHAR(10)),"""")"),"N/A")</f>
        <v>N/A</v>
      </c>
      <c r="L86" s="62"/>
      <c r="M86" s="62"/>
      <c r="N86" s="62"/>
      <c r="O86" s="63"/>
      <c r="P86" s="62" t="str">
        <f>IFERROR(__xludf.DUMMYFUNCTION("iferror(SPLIT(Tracker!R87,CHAR(10)),"""")"),"N/A")</f>
        <v>N/A</v>
      </c>
      <c r="Q86" s="62"/>
      <c r="R86" s="62"/>
      <c r="S86" s="62"/>
      <c r="T86" s="63"/>
      <c r="U86" s="62" t="str">
        <f>IFERROR(__xludf.DUMMYFUNCTION("""COMPUTED_VALUE"""),"10 Fire-Breath Lizalfos Tail")</f>
        <v>10 Fire-Breath Lizalfos Tail</v>
      </c>
      <c r="V86" s="62">
        <f>IFERROR(__xludf.DUMMYFUNCTION("SPLIT(U86,"" "")"),10.0)</f>
        <v>10</v>
      </c>
      <c r="W86" s="62" t="str">
        <f>IFERROR(__xludf.DUMMYFUNCTION("""COMPUTED_VALUE"""),"Fire-Breath")</f>
        <v>Fire-Breath</v>
      </c>
      <c r="X86" s="62" t="str">
        <f>IFERROR(__xludf.DUMMYFUNCTION("""COMPUTED_VALUE"""),"Lizalfos")</f>
        <v>Lizalfos</v>
      </c>
      <c r="Y86" s="62" t="str">
        <f>IFERROR(__xludf.DUMMYFUNCTION("""COMPUTED_VALUE"""),"Tail")</f>
        <v>Tail</v>
      </c>
      <c r="Z86" s="62"/>
      <c r="AA86" s="62"/>
      <c r="AB86" s="63"/>
      <c r="AC86" s="62" t="str">
        <f t="shared" si="2"/>
        <v>Fire-Breath Lizalfos Tail</v>
      </c>
    </row>
    <row r="87">
      <c r="A87" s="62" t="str">
        <f>IFERROR(__xludf.DUMMYFUNCTION("iferror(SPLIT(Tracker!L88,CHAR(10)),"""")"),"N/A")</f>
        <v>N/A</v>
      </c>
      <c r="B87" s="62"/>
      <c r="C87" s="62"/>
      <c r="D87" s="62"/>
      <c r="E87" s="63"/>
      <c r="F87" s="62" t="str">
        <f>IFERROR(__xludf.DUMMYFUNCTION("iferror(SPLIT(Tracker!N88,CHAR(10)),"""")"),"N/A")</f>
        <v>N/A</v>
      </c>
      <c r="G87" s="62"/>
      <c r="H87" s="62"/>
      <c r="I87" s="62"/>
      <c r="J87" s="63"/>
      <c r="K87" s="62" t="str">
        <f>IFERROR(__xludf.DUMMYFUNCTION("iferror(SPLIT(Tracker!P88,CHAR(10)),"""")"),"N/A")</f>
        <v>N/A</v>
      </c>
      <c r="L87" s="62"/>
      <c r="M87" s="62"/>
      <c r="N87" s="62"/>
      <c r="O87" s="63"/>
      <c r="P87" s="62" t="str">
        <f>IFERROR(__xludf.DUMMYFUNCTION("iferror(SPLIT(Tracker!R88,CHAR(10)),"""")"),"N/A")</f>
        <v>N/A</v>
      </c>
      <c r="Q87" s="62"/>
      <c r="R87" s="62"/>
      <c r="S87" s="62"/>
      <c r="T87" s="63"/>
      <c r="U87" s="62" t="str">
        <f>IFERROR(__xludf.DUMMYFUNCTION("""COMPUTED_VALUE"""),"5 Ruby")</f>
        <v>5 Ruby</v>
      </c>
      <c r="V87" s="62">
        <f>IFERROR(__xludf.DUMMYFUNCTION("SPLIT(U87,"" "")"),5.0)</f>
        <v>5</v>
      </c>
      <c r="W87" s="62" t="str">
        <f>IFERROR(__xludf.DUMMYFUNCTION("""COMPUTED_VALUE"""),"Ruby")</f>
        <v>Ruby</v>
      </c>
      <c r="X87" s="62"/>
      <c r="Y87" s="62"/>
      <c r="Z87" s="62"/>
      <c r="AA87" s="62"/>
      <c r="AB87" s="63"/>
      <c r="AC87" s="62" t="str">
        <f t="shared" si="2"/>
        <v>Ruby</v>
      </c>
    </row>
    <row r="88">
      <c r="A88" s="62" t="str">
        <f>IFERROR(__xludf.DUMMYFUNCTION("iferror(SPLIT(Tracker!L89,CHAR(10)),"""")"),"N/A")</f>
        <v>N/A</v>
      </c>
      <c r="B88" s="62"/>
      <c r="C88" s="62"/>
      <c r="D88" s="62"/>
      <c r="E88" s="63"/>
      <c r="F88" s="62" t="str">
        <f>IFERROR(__xludf.DUMMYFUNCTION("iferror(SPLIT(Tracker!N89,CHAR(10)),"""")"),"N/A")</f>
        <v>N/A</v>
      </c>
      <c r="G88" s="62"/>
      <c r="H88" s="62"/>
      <c r="I88" s="62"/>
      <c r="J88" s="63"/>
      <c r="K88" s="62" t="str">
        <f>IFERROR(__xludf.DUMMYFUNCTION("iferror(SPLIT(Tracker!P89,CHAR(10)),"""")"),"N/A")</f>
        <v>N/A</v>
      </c>
      <c r="L88" s="62"/>
      <c r="M88" s="62"/>
      <c r="N88" s="62"/>
      <c r="O88" s="63"/>
      <c r="P88" s="62" t="str">
        <f>IFERROR(__xludf.DUMMYFUNCTION("iferror(SPLIT(Tracker!R89,CHAR(10)),"""")"),"N/A")</f>
        <v>N/A</v>
      </c>
      <c r="Q88" s="62"/>
      <c r="R88" s="62"/>
      <c r="S88" s="62"/>
      <c r="T88" s="63"/>
      <c r="U88" s="62" t="str">
        <f>IFERROR(__xludf.DUMMYFUNCTION("""COMPUTED_VALUE"""),"3 Red Chuchu Jelly")</f>
        <v>3 Red Chuchu Jelly</v>
      </c>
      <c r="V88" s="62">
        <f>IFERROR(__xludf.DUMMYFUNCTION("SPLIT(U88,"" "")"),3.0)</f>
        <v>3</v>
      </c>
      <c r="W88" s="62" t="str">
        <f>IFERROR(__xludf.DUMMYFUNCTION("""COMPUTED_VALUE"""),"Red")</f>
        <v>Red</v>
      </c>
      <c r="X88" s="62" t="str">
        <f>IFERROR(__xludf.DUMMYFUNCTION("""COMPUTED_VALUE"""),"Chuchu")</f>
        <v>Chuchu</v>
      </c>
      <c r="Y88" s="62" t="str">
        <f>IFERROR(__xludf.DUMMYFUNCTION("""COMPUTED_VALUE"""),"Jelly")</f>
        <v>Jelly</v>
      </c>
      <c r="Z88" s="62"/>
      <c r="AA88" s="62"/>
      <c r="AB88" s="63"/>
      <c r="AC88" s="62" t="str">
        <f t="shared" si="2"/>
        <v>Red Chuchu Jelly</v>
      </c>
    </row>
    <row r="89">
      <c r="A89" s="62" t="str">
        <f>IFERROR(__xludf.DUMMYFUNCTION("iferror(SPLIT(Tracker!L90,CHAR(10)),"""")"),"N/A")</f>
        <v>N/A</v>
      </c>
      <c r="B89" s="62"/>
      <c r="C89" s="62"/>
      <c r="D89" s="62"/>
      <c r="E89" s="63"/>
      <c r="F89" s="62" t="str">
        <f>IFERROR(__xludf.DUMMYFUNCTION("iferror(SPLIT(Tracker!N90,CHAR(10)),"""")"),"N/A")</f>
        <v>N/A</v>
      </c>
      <c r="G89" s="62"/>
      <c r="H89" s="62"/>
      <c r="I89" s="62"/>
      <c r="J89" s="63"/>
      <c r="K89" s="62" t="str">
        <f>IFERROR(__xludf.DUMMYFUNCTION("iferror(SPLIT(Tracker!P90,CHAR(10)),"""")"),"N/A")</f>
        <v>N/A</v>
      </c>
      <c r="L89" s="62"/>
      <c r="M89" s="62"/>
      <c r="N89" s="62"/>
      <c r="O89" s="63"/>
      <c r="P89" s="62" t="str">
        <f>IFERROR(__xludf.DUMMYFUNCTION("iferror(SPLIT(Tracker!R90,CHAR(10)),"""")"),"N/A")</f>
        <v>N/A</v>
      </c>
      <c r="Q89" s="62"/>
      <c r="R89" s="62"/>
      <c r="S89" s="62"/>
      <c r="T89" s="63"/>
      <c r="U89" s="62" t="str">
        <f>IFERROR(__xludf.DUMMYFUNCTION("""COMPUTED_VALUE"""),"5 Red Chuchu Jelly")</f>
        <v>5 Red Chuchu Jelly</v>
      </c>
      <c r="V89" s="62">
        <f>IFERROR(__xludf.DUMMYFUNCTION("SPLIT(U89,"" "")"),5.0)</f>
        <v>5</v>
      </c>
      <c r="W89" s="62" t="str">
        <f>IFERROR(__xludf.DUMMYFUNCTION("""COMPUTED_VALUE"""),"Red")</f>
        <v>Red</v>
      </c>
      <c r="X89" s="62" t="str">
        <f>IFERROR(__xludf.DUMMYFUNCTION("""COMPUTED_VALUE"""),"Chuchu")</f>
        <v>Chuchu</v>
      </c>
      <c r="Y89" s="62" t="str">
        <f>IFERROR(__xludf.DUMMYFUNCTION("""COMPUTED_VALUE"""),"Jelly")</f>
        <v>Jelly</v>
      </c>
      <c r="Z89" s="62"/>
      <c r="AA89" s="62"/>
      <c r="AB89" s="63"/>
      <c r="AC89" s="62" t="str">
        <f t="shared" si="2"/>
        <v>Red Chuchu Jelly</v>
      </c>
    </row>
    <row r="90">
      <c r="A90" s="62" t="str">
        <f>IFERROR(__xludf.DUMMYFUNCTION("iferror(SPLIT(Tracker!L91,CHAR(10)),"""")"),"N/A")</f>
        <v>N/A</v>
      </c>
      <c r="B90" s="62"/>
      <c r="C90" s="62"/>
      <c r="D90" s="62"/>
      <c r="E90" s="63"/>
      <c r="F90" s="62" t="str">
        <f>IFERROR(__xludf.DUMMYFUNCTION("iferror(SPLIT(Tracker!N91,CHAR(10)),"""")"),"N/A")</f>
        <v>N/A</v>
      </c>
      <c r="G90" s="62"/>
      <c r="H90" s="62"/>
      <c r="I90" s="62"/>
      <c r="J90" s="63"/>
      <c r="K90" s="62" t="str">
        <f>IFERROR(__xludf.DUMMYFUNCTION("iferror(SPLIT(Tracker!P91,CHAR(10)),"""")"),"N/A")</f>
        <v>N/A</v>
      </c>
      <c r="L90" s="62"/>
      <c r="M90" s="62"/>
      <c r="N90" s="62"/>
      <c r="O90" s="63"/>
      <c r="P90" s="62" t="str">
        <f>IFERROR(__xludf.DUMMYFUNCTION("iferror(SPLIT(Tracker!R91,CHAR(10)),"""")"),"N/A")</f>
        <v>N/A</v>
      </c>
      <c r="Q90" s="62"/>
      <c r="R90" s="62"/>
      <c r="S90" s="62"/>
      <c r="T90" s="63"/>
      <c r="U90" s="62" t="str">
        <f>IFERROR(__xludf.DUMMYFUNCTION("""COMPUTED_VALUE"""),"3 Warm Safflina")</f>
        <v>3 Warm Safflina</v>
      </c>
      <c r="V90" s="62">
        <f>IFERROR(__xludf.DUMMYFUNCTION("SPLIT(U90,"" "")"),3.0)</f>
        <v>3</v>
      </c>
      <c r="W90" s="62" t="str">
        <f>IFERROR(__xludf.DUMMYFUNCTION("""COMPUTED_VALUE"""),"Warm")</f>
        <v>Warm</v>
      </c>
      <c r="X90" s="62" t="str">
        <f>IFERROR(__xludf.DUMMYFUNCTION("""COMPUTED_VALUE"""),"Safflina")</f>
        <v>Safflina</v>
      </c>
      <c r="Y90" s="62"/>
      <c r="Z90" s="62"/>
      <c r="AA90" s="62"/>
      <c r="AB90" s="63"/>
      <c r="AC90" s="62" t="str">
        <f t="shared" si="2"/>
        <v>Warm Safflina</v>
      </c>
    </row>
    <row r="91">
      <c r="A91" s="62" t="str">
        <f>IFERROR(__xludf.DUMMYFUNCTION("iferror(SPLIT(Tracker!L92,CHAR(10)),"""")"),"3 Silent Princess")</f>
        <v>3 Silent Princess</v>
      </c>
      <c r="B91" s="62" t="str">
        <f>IFERROR(__xludf.DUMMYFUNCTION("""COMPUTED_VALUE"""),"1 Light Dragon's Scale")</f>
        <v>1 Light Dragon's Scale</v>
      </c>
      <c r="C91" s="62"/>
      <c r="D91" s="62"/>
      <c r="E91" s="63"/>
      <c r="F91" s="62" t="str">
        <f>IFERROR(__xludf.DUMMYFUNCTION("iferror(SPLIT(Tracker!N92,CHAR(10)),"""")"),"3 Silent Princess")</f>
        <v>3 Silent Princess</v>
      </c>
      <c r="G91" s="62" t="str">
        <f>IFERROR(__xludf.DUMMYFUNCTION("""COMPUTED_VALUE"""),"1 Light Dragon's Talon")</f>
        <v>1 Light Dragon's Talon</v>
      </c>
      <c r="H91" s="62" t="str">
        <f>IFERROR(__xludf.DUMMYFUNCTION("""COMPUTED_VALUE"""),"2 Farosh's Horn")</f>
        <v>2 Farosh's Horn</v>
      </c>
      <c r="I91" s="62"/>
      <c r="J91" s="63"/>
      <c r="K91" s="62" t="str">
        <f>IFERROR(__xludf.DUMMYFUNCTION("iferror(SPLIT(Tracker!P92,CHAR(10)),"""")"),"5 Silent Princess")</f>
        <v>5 Silent Princess</v>
      </c>
      <c r="L91" s="62" t="str">
        <f>IFERROR(__xludf.DUMMYFUNCTION("""COMPUTED_VALUE"""),"1 Shard of Light Dragon's Fang")</f>
        <v>1 Shard of Light Dragon's Fang</v>
      </c>
      <c r="M91" s="62" t="str">
        <f>IFERROR(__xludf.DUMMYFUNCTION("""COMPUTED_VALUE"""),"2 Naydra's Horn")</f>
        <v>2 Naydra's Horn</v>
      </c>
      <c r="N91" s="62"/>
      <c r="O91" s="63"/>
      <c r="P91" s="62" t="str">
        <f>IFERROR(__xludf.DUMMYFUNCTION("iferror(SPLIT(Tracker!R92,CHAR(10)),"""")"),"10 Silent Princess")</f>
        <v>10 Silent Princess</v>
      </c>
      <c r="Q91" s="62" t="str">
        <f>IFERROR(__xludf.DUMMYFUNCTION("""COMPUTED_VALUE"""),"1 Light Dragon's Horn")</f>
        <v>1 Light Dragon's Horn</v>
      </c>
      <c r="R91" s="62" t="str">
        <f>IFERROR(__xludf.DUMMYFUNCTION("""COMPUTED_VALUE"""),"2 Dinraal's Horn")</f>
        <v>2 Dinraal's Horn</v>
      </c>
      <c r="S91" s="62"/>
      <c r="T91" s="63"/>
      <c r="U91" s="62" t="str">
        <f>IFERROR(__xludf.DUMMYFUNCTION("""COMPUTED_VALUE"""),"5 Fire Keese Wing")</f>
        <v>5 Fire Keese Wing</v>
      </c>
      <c r="V91" s="62">
        <f>IFERROR(__xludf.DUMMYFUNCTION("SPLIT(U91,"" "")"),5.0)</f>
        <v>5</v>
      </c>
      <c r="W91" s="62" t="str">
        <f>IFERROR(__xludf.DUMMYFUNCTION("""COMPUTED_VALUE"""),"Fire")</f>
        <v>Fire</v>
      </c>
      <c r="X91" s="62" t="str">
        <f>IFERROR(__xludf.DUMMYFUNCTION("""COMPUTED_VALUE"""),"Keese")</f>
        <v>Keese</v>
      </c>
      <c r="Y91" s="62" t="str">
        <f>IFERROR(__xludf.DUMMYFUNCTION("""COMPUTED_VALUE"""),"Wing")</f>
        <v>Wing</v>
      </c>
      <c r="Z91" s="62"/>
      <c r="AA91" s="62"/>
      <c r="AB91" s="63"/>
      <c r="AC91" s="62" t="str">
        <f t="shared" si="2"/>
        <v>Fire Keese Wing</v>
      </c>
    </row>
    <row r="92">
      <c r="A92" s="62" t="str">
        <f>IFERROR(__xludf.DUMMYFUNCTION("iferror(SPLIT(Tracker!L93,CHAR(10)),"""")"),"3 Silent Princess")</f>
        <v>3 Silent Princess</v>
      </c>
      <c r="B92" s="62" t="str">
        <f>IFERROR(__xludf.DUMMYFUNCTION("""COMPUTED_VALUE"""),"2 Light Dragon's Scale")</f>
        <v>2 Light Dragon's Scale</v>
      </c>
      <c r="C92" s="62"/>
      <c r="D92" s="62"/>
      <c r="E92" s="63"/>
      <c r="F92" s="62" t="str">
        <f>IFERROR(__xludf.DUMMYFUNCTION("iferror(SPLIT(Tracker!N93,CHAR(10)),"""")"),"3 Silent Princess")</f>
        <v>3 Silent Princess</v>
      </c>
      <c r="G92" s="62" t="str">
        <f>IFERROR(__xludf.DUMMYFUNCTION("""COMPUTED_VALUE"""),"2 Light Dragon's Talon")</f>
        <v>2 Light Dragon's Talon</v>
      </c>
      <c r="H92" s="62" t="str">
        <f>IFERROR(__xludf.DUMMYFUNCTION("""COMPUTED_VALUE"""),"10 Sundelion")</f>
        <v>10 Sundelion</v>
      </c>
      <c r="I92" s="62"/>
      <c r="J92" s="63"/>
      <c r="K92" s="62" t="str">
        <f>IFERROR(__xludf.DUMMYFUNCTION("iferror(SPLIT(Tracker!P93,CHAR(10)),"""")"),"5 Silent Princess")</f>
        <v>5 Silent Princess</v>
      </c>
      <c r="L92" s="62" t="str">
        <f>IFERROR(__xludf.DUMMYFUNCTION("""COMPUTED_VALUE"""),"2 Shard of Light Dragon's Fang")</f>
        <v>2 Shard of Light Dragon's Fang</v>
      </c>
      <c r="M92" s="62" t="str">
        <f>IFERROR(__xludf.DUMMYFUNCTION("""COMPUTED_VALUE"""),"15 Sundelion")</f>
        <v>15 Sundelion</v>
      </c>
      <c r="N92" s="62"/>
      <c r="O92" s="63"/>
      <c r="P92" s="62" t="str">
        <f>IFERROR(__xludf.DUMMYFUNCTION("iferror(SPLIT(Tracker!R93,CHAR(10)),"""")"),"10 Silent Princess")</f>
        <v>10 Silent Princess</v>
      </c>
      <c r="Q92" s="62" t="str">
        <f>IFERROR(__xludf.DUMMYFUNCTION("""COMPUTED_VALUE"""),"2 Light Dragon's Horn")</f>
        <v>2 Light Dragon's Horn</v>
      </c>
      <c r="R92" s="62" t="str">
        <f>IFERROR(__xludf.DUMMYFUNCTION("""COMPUTED_VALUE"""),"20 Sundelion")</f>
        <v>20 Sundelion</v>
      </c>
      <c r="S92" s="62"/>
      <c r="T92" s="63"/>
      <c r="U92" s="62" t="str">
        <f>IFERROR(__xludf.DUMMYFUNCTION("""COMPUTED_VALUE"""),"3 Fire-Breath Lizalfos Tail")</f>
        <v>3 Fire-Breath Lizalfos Tail</v>
      </c>
      <c r="V92" s="62">
        <f>IFERROR(__xludf.DUMMYFUNCTION("SPLIT(U92,"" "")"),3.0)</f>
        <v>3</v>
      </c>
      <c r="W92" s="62" t="str">
        <f>IFERROR(__xludf.DUMMYFUNCTION("""COMPUTED_VALUE"""),"Fire-Breath")</f>
        <v>Fire-Breath</v>
      </c>
      <c r="X92" s="62" t="str">
        <f>IFERROR(__xludf.DUMMYFUNCTION("""COMPUTED_VALUE"""),"Lizalfos")</f>
        <v>Lizalfos</v>
      </c>
      <c r="Y92" s="62" t="str">
        <f>IFERROR(__xludf.DUMMYFUNCTION("""COMPUTED_VALUE"""),"Tail")</f>
        <v>Tail</v>
      </c>
      <c r="Z92" s="62"/>
      <c r="AA92" s="62"/>
      <c r="AB92" s="63"/>
      <c r="AC92" s="62" t="str">
        <f t="shared" si="2"/>
        <v>Fire-Breath Lizalfos Tail</v>
      </c>
    </row>
    <row r="93">
      <c r="A93" s="62" t="str">
        <f>IFERROR(__xludf.DUMMYFUNCTION("iferror(SPLIT(Tracker!L94,CHAR(10)),"""")"),"N/A")</f>
        <v>N/A</v>
      </c>
      <c r="B93" s="62"/>
      <c r="C93" s="62"/>
      <c r="D93" s="62"/>
      <c r="E93" s="63"/>
      <c r="F93" s="62" t="str">
        <f>IFERROR(__xludf.DUMMYFUNCTION("iferror(SPLIT(Tracker!N94,CHAR(10)),"""")"),"N/A")</f>
        <v>N/A</v>
      </c>
      <c r="G93" s="62"/>
      <c r="H93" s="62"/>
      <c r="I93" s="62"/>
      <c r="J93" s="63"/>
      <c r="K93" s="62" t="str">
        <f>IFERROR(__xludf.DUMMYFUNCTION("iferror(SPLIT(Tracker!P94,CHAR(10)),"""")"),"N/A")</f>
        <v>N/A</v>
      </c>
      <c r="L93" s="62"/>
      <c r="M93" s="62"/>
      <c r="N93" s="62"/>
      <c r="O93" s="63"/>
      <c r="P93" s="62" t="str">
        <f>IFERROR(__xludf.DUMMYFUNCTION("iferror(SPLIT(Tracker!R94,CHAR(10)),"""")"),"N/A")</f>
        <v>N/A</v>
      </c>
      <c r="Q93" s="62"/>
      <c r="R93" s="62"/>
      <c r="S93" s="62"/>
      <c r="T93" s="63"/>
      <c r="U93" s="62" t="str">
        <f>IFERROR(__xludf.DUMMYFUNCTION("""COMPUTED_VALUE"""),"5 Sunshroom")</f>
        <v>5 Sunshroom</v>
      </c>
      <c r="V93" s="62">
        <f>IFERROR(__xludf.DUMMYFUNCTION("SPLIT(U93,"" "")"),5.0)</f>
        <v>5</v>
      </c>
      <c r="W93" s="62" t="str">
        <f>IFERROR(__xludf.DUMMYFUNCTION("""COMPUTED_VALUE"""),"Sunshroom")</f>
        <v>Sunshroom</v>
      </c>
      <c r="X93" s="62"/>
      <c r="Y93" s="62"/>
      <c r="Z93" s="62"/>
      <c r="AA93" s="62"/>
      <c r="AB93" s="63"/>
      <c r="AC93" s="62" t="str">
        <f t="shared" si="2"/>
        <v>Sunshroom</v>
      </c>
    </row>
    <row r="94">
      <c r="A94" s="62" t="str">
        <f>IFERROR(__xludf.DUMMYFUNCTION("iferror(SPLIT(Tracker!L95,CHAR(10)),"""")"),"N/A")</f>
        <v>N/A</v>
      </c>
      <c r="B94" s="62"/>
      <c r="C94" s="62"/>
      <c r="D94" s="62"/>
      <c r="E94" s="63"/>
      <c r="F94" s="62" t="str">
        <f>IFERROR(__xludf.DUMMYFUNCTION("iferror(SPLIT(Tracker!N95,CHAR(10)),"""")"),"N/A")</f>
        <v>N/A</v>
      </c>
      <c r="G94" s="62"/>
      <c r="H94" s="62"/>
      <c r="I94" s="62"/>
      <c r="J94" s="63"/>
      <c r="K94" s="62" t="str">
        <f>IFERROR(__xludf.DUMMYFUNCTION("iferror(SPLIT(Tracker!P95,CHAR(10)),"""")"),"N/A")</f>
        <v>N/A</v>
      </c>
      <c r="L94" s="62"/>
      <c r="M94" s="62"/>
      <c r="N94" s="62"/>
      <c r="O94" s="63"/>
      <c r="P94" s="62" t="str">
        <f>IFERROR(__xludf.DUMMYFUNCTION("iferror(SPLIT(Tracker!R95,CHAR(10)),"""")"),"N/A")</f>
        <v>N/A</v>
      </c>
      <c r="Q94" s="62"/>
      <c r="R94" s="62"/>
      <c r="S94" s="62"/>
      <c r="T94" s="63"/>
      <c r="U94" s="62" t="str">
        <f>IFERROR(__xludf.DUMMYFUNCTION("""COMPUTED_VALUE"""),"5 Fire-Breath Lizalfos Horn")</f>
        <v>5 Fire-Breath Lizalfos Horn</v>
      </c>
      <c r="V94" s="62">
        <f>IFERROR(__xludf.DUMMYFUNCTION("SPLIT(U94,"" "")"),5.0)</f>
        <v>5</v>
      </c>
      <c r="W94" s="62" t="str">
        <f>IFERROR(__xludf.DUMMYFUNCTION("""COMPUTED_VALUE"""),"Fire-Breath")</f>
        <v>Fire-Breath</v>
      </c>
      <c r="X94" s="62" t="str">
        <f>IFERROR(__xludf.DUMMYFUNCTION("""COMPUTED_VALUE"""),"Lizalfos")</f>
        <v>Lizalfos</v>
      </c>
      <c r="Y94" s="62" t="str">
        <f>IFERROR(__xludf.DUMMYFUNCTION("""COMPUTED_VALUE"""),"Horn")</f>
        <v>Horn</v>
      </c>
      <c r="Z94" s="62"/>
      <c r="AA94" s="62"/>
      <c r="AB94" s="63"/>
      <c r="AC94" s="62" t="str">
        <f t="shared" si="2"/>
        <v>Fire-Breath Lizalfos Horn</v>
      </c>
    </row>
    <row r="95">
      <c r="A95" s="62" t="str">
        <f>IFERROR(__xludf.DUMMYFUNCTION("iferror(SPLIT(Tracker!L96,CHAR(10)),"""")"),"N/A")</f>
        <v>N/A</v>
      </c>
      <c r="B95" s="62"/>
      <c r="C95" s="62"/>
      <c r="D95" s="62"/>
      <c r="E95" s="63"/>
      <c r="F95" s="62" t="str">
        <f>IFERROR(__xludf.DUMMYFUNCTION("iferror(SPLIT(Tracker!N96,CHAR(10)),"""")"),"N/A")</f>
        <v>N/A</v>
      </c>
      <c r="G95" s="62"/>
      <c r="H95" s="62"/>
      <c r="I95" s="62"/>
      <c r="J95" s="63"/>
      <c r="K95" s="62" t="str">
        <f>IFERROR(__xludf.DUMMYFUNCTION("iferror(SPLIT(Tracker!P96,CHAR(10)),"""")"),"N/A")</f>
        <v>N/A</v>
      </c>
      <c r="L95" s="62"/>
      <c r="M95" s="62"/>
      <c r="N95" s="62"/>
      <c r="O95" s="63"/>
      <c r="P95" s="62" t="str">
        <f>IFERROR(__xludf.DUMMYFUNCTION("iferror(SPLIT(Tracker!R96,CHAR(10)),"""")"),"N/A")</f>
        <v>N/A</v>
      </c>
      <c r="Q95" s="62"/>
      <c r="R95" s="62"/>
      <c r="S95" s="62"/>
      <c r="T95" s="63"/>
      <c r="U95" s="62" t="str">
        <f>IFERROR(__xludf.DUMMYFUNCTION("""COMPUTED_VALUE"""),"10 Fire-Breath Lizalfos Tail")</f>
        <v>10 Fire-Breath Lizalfos Tail</v>
      </c>
      <c r="V95" s="62">
        <f>IFERROR(__xludf.DUMMYFUNCTION("SPLIT(U95,"" "")"),10.0)</f>
        <v>10</v>
      </c>
      <c r="W95" s="62" t="str">
        <f>IFERROR(__xludf.DUMMYFUNCTION("""COMPUTED_VALUE"""),"Fire-Breath")</f>
        <v>Fire-Breath</v>
      </c>
      <c r="X95" s="62" t="str">
        <f>IFERROR(__xludf.DUMMYFUNCTION("""COMPUTED_VALUE"""),"Lizalfos")</f>
        <v>Lizalfos</v>
      </c>
      <c r="Y95" s="62" t="str">
        <f>IFERROR(__xludf.DUMMYFUNCTION("""COMPUTED_VALUE"""),"Tail")</f>
        <v>Tail</v>
      </c>
      <c r="Z95" s="62"/>
      <c r="AA95" s="62"/>
      <c r="AB95" s="63"/>
      <c r="AC95" s="62" t="str">
        <f t="shared" si="2"/>
        <v>Fire-Breath Lizalfos Tail</v>
      </c>
    </row>
    <row r="96">
      <c r="A96" s="62" t="str">
        <f>IFERROR(__xludf.DUMMYFUNCTION("iferror(SPLIT(Tracker!L97,CHAR(10)),"""")"),"N/A")</f>
        <v>N/A</v>
      </c>
      <c r="B96" s="62"/>
      <c r="C96" s="62"/>
      <c r="D96" s="62"/>
      <c r="E96" s="63"/>
      <c r="F96" s="62" t="str">
        <f>IFERROR(__xludf.DUMMYFUNCTION("iferror(SPLIT(Tracker!N97,CHAR(10)),"""")"),"N/A")</f>
        <v>N/A</v>
      </c>
      <c r="G96" s="62"/>
      <c r="H96" s="62"/>
      <c r="I96" s="62"/>
      <c r="J96" s="63"/>
      <c r="K96" s="62" t="str">
        <f>IFERROR(__xludf.DUMMYFUNCTION("iferror(SPLIT(Tracker!P97,CHAR(10)),"""")"),"N/A")</f>
        <v>N/A</v>
      </c>
      <c r="L96" s="62"/>
      <c r="M96" s="62"/>
      <c r="N96" s="62"/>
      <c r="O96" s="63"/>
      <c r="P96" s="62" t="str">
        <f>IFERROR(__xludf.DUMMYFUNCTION("iferror(SPLIT(Tracker!R97,CHAR(10)),"""")"),"N/A")</f>
        <v>N/A</v>
      </c>
      <c r="Q96" s="62"/>
      <c r="R96" s="62"/>
      <c r="S96" s="62"/>
      <c r="T96" s="63"/>
      <c r="U96" s="62" t="str">
        <f>IFERROR(__xludf.DUMMYFUNCTION("""COMPUTED_VALUE"""),"5 Ruby")</f>
        <v>5 Ruby</v>
      </c>
      <c r="V96" s="62">
        <f>IFERROR(__xludf.DUMMYFUNCTION("SPLIT(U96,"" "")"),5.0)</f>
        <v>5</v>
      </c>
      <c r="W96" s="62" t="str">
        <f>IFERROR(__xludf.DUMMYFUNCTION("""COMPUTED_VALUE"""),"Ruby")</f>
        <v>Ruby</v>
      </c>
      <c r="X96" s="62"/>
      <c r="Y96" s="62"/>
      <c r="Z96" s="62"/>
      <c r="AA96" s="62"/>
      <c r="AB96" s="63"/>
      <c r="AC96" s="62" t="str">
        <f t="shared" si="2"/>
        <v>Ruby</v>
      </c>
    </row>
    <row r="97">
      <c r="A97" s="62" t="str">
        <f>IFERROR(__xludf.DUMMYFUNCTION("iferror(SPLIT(Tracker!L98,CHAR(10)),"""")"),"N/A")</f>
        <v>N/A</v>
      </c>
      <c r="B97" s="62"/>
      <c r="C97" s="62"/>
      <c r="D97" s="62"/>
      <c r="E97" s="63"/>
      <c r="F97" s="62" t="str">
        <f>IFERROR(__xludf.DUMMYFUNCTION("iferror(SPLIT(Tracker!N98,CHAR(10)),"""")"),"N/A")</f>
        <v>N/A</v>
      </c>
      <c r="G97" s="62"/>
      <c r="H97" s="62"/>
      <c r="I97" s="62"/>
      <c r="J97" s="63"/>
      <c r="K97" s="62" t="str">
        <f>IFERROR(__xludf.DUMMYFUNCTION("iferror(SPLIT(Tracker!P98,CHAR(10)),"""")"),"N/A")</f>
        <v>N/A</v>
      </c>
      <c r="L97" s="62"/>
      <c r="M97" s="62"/>
      <c r="N97" s="62"/>
      <c r="O97" s="63"/>
      <c r="P97" s="62" t="str">
        <f>IFERROR(__xludf.DUMMYFUNCTION("iferror(SPLIT(Tracker!R98,CHAR(10)),"""")"),"N/A")</f>
        <v>N/A</v>
      </c>
      <c r="Q97" s="62"/>
      <c r="R97" s="62"/>
      <c r="S97" s="62"/>
      <c r="T97" s="63"/>
      <c r="U97" s="62" t="str">
        <f>IFERROR(__xludf.DUMMYFUNCTION("""COMPUTED_VALUE"""),"3 Red Chuchu Jelly")</f>
        <v>3 Red Chuchu Jelly</v>
      </c>
      <c r="V97" s="62">
        <f>IFERROR(__xludf.DUMMYFUNCTION("SPLIT(U97,"" "")"),3.0)</f>
        <v>3</v>
      </c>
      <c r="W97" s="62" t="str">
        <f>IFERROR(__xludf.DUMMYFUNCTION("""COMPUTED_VALUE"""),"Red")</f>
        <v>Red</v>
      </c>
      <c r="X97" s="62" t="str">
        <f>IFERROR(__xludf.DUMMYFUNCTION("""COMPUTED_VALUE"""),"Chuchu")</f>
        <v>Chuchu</v>
      </c>
      <c r="Y97" s="62" t="str">
        <f>IFERROR(__xludf.DUMMYFUNCTION("""COMPUTED_VALUE"""),"Jelly")</f>
        <v>Jelly</v>
      </c>
      <c r="Z97" s="62"/>
      <c r="AA97" s="62"/>
      <c r="AB97" s="63"/>
      <c r="AC97" s="62" t="str">
        <f t="shared" si="2"/>
        <v>Red Chuchu Jelly</v>
      </c>
    </row>
    <row r="98">
      <c r="A98" s="62" t="str">
        <f>IFERROR(__xludf.DUMMYFUNCTION("iferror(SPLIT(Tracker!L99,CHAR(10)),"""")"),"N/A")</f>
        <v>N/A</v>
      </c>
      <c r="B98" s="62"/>
      <c r="C98" s="62"/>
      <c r="D98" s="62"/>
      <c r="E98" s="63"/>
      <c r="F98" s="62" t="str">
        <f>IFERROR(__xludf.DUMMYFUNCTION("iferror(SPLIT(Tracker!N99,CHAR(10)),"""")"),"N/A")</f>
        <v>N/A</v>
      </c>
      <c r="G98" s="62"/>
      <c r="H98" s="62"/>
      <c r="I98" s="62"/>
      <c r="J98" s="63"/>
      <c r="K98" s="62" t="str">
        <f>IFERROR(__xludf.DUMMYFUNCTION("iferror(SPLIT(Tracker!P99,CHAR(10)),"""")"),"N/A")</f>
        <v>N/A</v>
      </c>
      <c r="L98" s="62"/>
      <c r="M98" s="62"/>
      <c r="N98" s="62"/>
      <c r="O98" s="63"/>
      <c r="P98" s="62" t="str">
        <f>IFERROR(__xludf.DUMMYFUNCTION("iferror(SPLIT(Tracker!R99,CHAR(10)),"""")"),"N/A")</f>
        <v>N/A</v>
      </c>
      <c r="Q98" s="62"/>
      <c r="R98" s="62"/>
      <c r="S98" s="62"/>
      <c r="T98" s="63"/>
      <c r="U98" s="62" t="str">
        <f>IFERROR(__xludf.DUMMYFUNCTION("""COMPUTED_VALUE"""),"5 Red Chuchu Jelly")</f>
        <v>5 Red Chuchu Jelly</v>
      </c>
      <c r="V98" s="62">
        <f>IFERROR(__xludf.DUMMYFUNCTION("SPLIT(U98,"" "")"),5.0)</f>
        <v>5</v>
      </c>
      <c r="W98" s="62" t="str">
        <f>IFERROR(__xludf.DUMMYFUNCTION("""COMPUTED_VALUE"""),"Red")</f>
        <v>Red</v>
      </c>
      <c r="X98" s="62" t="str">
        <f>IFERROR(__xludf.DUMMYFUNCTION("""COMPUTED_VALUE"""),"Chuchu")</f>
        <v>Chuchu</v>
      </c>
      <c r="Y98" s="62" t="str">
        <f>IFERROR(__xludf.DUMMYFUNCTION("""COMPUTED_VALUE"""),"Jelly")</f>
        <v>Jelly</v>
      </c>
      <c r="Z98" s="62"/>
      <c r="AA98" s="62"/>
      <c r="AB98" s="63"/>
      <c r="AC98" s="62" t="str">
        <f t="shared" si="2"/>
        <v>Red Chuchu Jelly</v>
      </c>
    </row>
    <row r="99">
      <c r="A99" s="62" t="str">
        <f>IFERROR(__xludf.DUMMYFUNCTION("iferror(SPLIT(Tracker!L100,CHAR(10)),"""")"),"N/A")</f>
        <v>N/A</v>
      </c>
      <c r="B99" s="62"/>
      <c r="C99" s="62"/>
      <c r="D99" s="62"/>
      <c r="E99" s="63"/>
      <c r="F99" s="62" t="str">
        <f>IFERROR(__xludf.DUMMYFUNCTION("iferror(SPLIT(Tracker!N100,CHAR(10)),"""")"),"N/A")</f>
        <v>N/A</v>
      </c>
      <c r="G99" s="62"/>
      <c r="H99" s="62"/>
      <c r="I99" s="62"/>
      <c r="J99" s="63"/>
      <c r="K99" s="62" t="str">
        <f>IFERROR(__xludf.DUMMYFUNCTION("iferror(SPLIT(Tracker!P100,CHAR(10)),"""")"),"N/A")</f>
        <v>N/A</v>
      </c>
      <c r="L99" s="62"/>
      <c r="M99" s="62"/>
      <c r="N99" s="62"/>
      <c r="O99" s="63"/>
      <c r="P99" s="62" t="str">
        <f>IFERROR(__xludf.DUMMYFUNCTION("iferror(SPLIT(Tracker!R100,CHAR(10)),"""")"),"N/A")</f>
        <v>N/A</v>
      </c>
      <c r="Q99" s="62"/>
      <c r="R99" s="62"/>
      <c r="S99" s="62"/>
      <c r="T99" s="63"/>
      <c r="U99" s="62" t="str">
        <f>IFERROR(__xludf.DUMMYFUNCTION("""COMPUTED_VALUE"""),"3 Warm Safflina")</f>
        <v>3 Warm Safflina</v>
      </c>
      <c r="V99" s="62">
        <f>IFERROR(__xludf.DUMMYFUNCTION("SPLIT(U99,"" "")"),3.0)</f>
        <v>3</v>
      </c>
      <c r="W99" s="62" t="str">
        <f>IFERROR(__xludf.DUMMYFUNCTION("""COMPUTED_VALUE"""),"Warm")</f>
        <v>Warm</v>
      </c>
      <c r="X99" s="62" t="str">
        <f>IFERROR(__xludf.DUMMYFUNCTION("""COMPUTED_VALUE"""),"Safflina")</f>
        <v>Safflina</v>
      </c>
      <c r="Y99" s="62"/>
      <c r="Z99" s="62"/>
      <c r="AA99" s="62"/>
      <c r="AB99" s="63"/>
      <c r="AC99" s="62" t="str">
        <f t="shared" si="2"/>
        <v>Warm Safflina</v>
      </c>
    </row>
    <row r="100">
      <c r="A100" s="62" t="str">
        <f>IFERROR(__xludf.DUMMYFUNCTION("iferror(SPLIT(Tracker!L101,CHAR(10)),"""")"),"N/A")</f>
        <v>N/A</v>
      </c>
      <c r="B100" s="62"/>
      <c r="C100" s="62"/>
      <c r="D100" s="62"/>
      <c r="E100" s="63"/>
      <c r="F100" s="62" t="str">
        <f>IFERROR(__xludf.DUMMYFUNCTION("iferror(SPLIT(Tracker!N101,CHAR(10)),"""")"),"N/A")</f>
        <v>N/A</v>
      </c>
      <c r="G100" s="62"/>
      <c r="H100" s="62"/>
      <c r="I100" s="62"/>
      <c r="J100" s="63"/>
      <c r="K100" s="62" t="str">
        <f>IFERROR(__xludf.DUMMYFUNCTION("iferror(SPLIT(Tracker!P101,CHAR(10)),"""")"),"N/A")</f>
        <v>N/A</v>
      </c>
      <c r="L100" s="62"/>
      <c r="M100" s="62"/>
      <c r="N100" s="62"/>
      <c r="O100" s="63"/>
      <c r="P100" s="62" t="str">
        <f>IFERROR(__xludf.DUMMYFUNCTION("iferror(SPLIT(Tracker!R101,CHAR(10)),"""")"),"N/A")</f>
        <v>N/A</v>
      </c>
      <c r="Q100" s="62"/>
      <c r="R100" s="62"/>
      <c r="S100" s="62"/>
      <c r="T100" s="63"/>
      <c r="U100" s="62" t="str">
        <f>IFERROR(__xludf.DUMMYFUNCTION("""COMPUTED_VALUE"""),"5 Fire Keese Wing")</f>
        <v>5 Fire Keese Wing</v>
      </c>
      <c r="V100" s="62">
        <f>IFERROR(__xludf.DUMMYFUNCTION("SPLIT(U100,"" "")"),5.0)</f>
        <v>5</v>
      </c>
      <c r="W100" s="62" t="str">
        <f>IFERROR(__xludf.DUMMYFUNCTION("""COMPUTED_VALUE"""),"Fire")</f>
        <v>Fire</v>
      </c>
      <c r="X100" s="62" t="str">
        <f>IFERROR(__xludf.DUMMYFUNCTION("""COMPUTED_VALUE"""),"Keese")</f>
        <v>Keese</v>
      </c>
      <c r="Y100" s="62" t="str">
        <f>IFERROR(__xludf.DUMMYFUNCTION("""COMPUTED_VALUE"""),"Wing")</f>
        <v>Wing</v>
      </c>
      <c r="Z100" s="62"/>
      <c r="AA100" s="62"/>
      <c r="AB100" s="63"/>
      <c r="AC100" s="62" t="str">
        <f t="shared" si="2"/>
        <v>Fire Keese Wing</v>
      </c>
    </row>
    <row r="101">
      <c r="A101" s="62" t="str">
        <f>IFERROR(__xludf.DUMMYFUNCTION("iferror(SPLIT(Tracker!L102,CHAR(10)),"""")"),"N/A")</f>
        <v>N/A</v>
      </c>
      <c r="B101" s="62"/>
      <c r="C101" s="62"/>
      <c r="D101" s="62"/>
      <c r="E101" s="63"/>
      <c r="F101" s="62" t="str">
        <f>IFERROR(__xludf.DUMMYFUNCTION("iferror(SPLIT(Tracker!N102,CHAR(10)),"""")"),"N/A")</f>
        <v>N/A</v>
      </c>
      <c r="G101" s="62"/>
      <c r="H101" s="62"/>
      <c r="I101" s="62"/>
      <c r="J101" s="63"/>
      <c r="K101" s="62" t="str">
        <f>IFERROR(__xludf.DUMMYFUNCTION("iferror(SPLIT(Tracker!P102,CHAR(10)),"""")"),"N/A")</f>
        <v>N/A</v>
      </c>
      <c r="L101" s="62"/>
      <c r="M101" s="62"/>
      <c r="N101" s="62"/>
      <c r="O101" s="63"/>
      <c r="P101" s="62" t="str">
        <f>IFERROR(__xludf.DUMMYFUNCTION("iferror(SPLIT(Tracker!R102,CHAR(10)),"""")"),"N/A")</f>
        <v>N/A</v>
      </c>
      <c r="Q101" s="62"/>
      <c r="R101" s="62"/>
      <c r="S101" s="62"/>
      <c r="T101" s="63"/>
      <c r="U101" s="62" t="str">
        <f>IFERROR(__xludf.DUMMYFUNCTION("""COMPUTED_VALUE"""),"3 Fire-Breath Lizalfos Tail")</f>
        <v>3 Fire-Breath Lizalfos Tail</v>
      </c>
      <c r="V101" s="62">
        <f>IFERROR(__xludf.DUMMYFUNCTION("SPLIT(U101,"" "")"),3.0)</f>
        <v>3</v>
      </c>
      <c r="W101" s="62" t="str">
        <f>IFERROR(__xludf.DUMMYFUNCTION("""COMPUTED_VALUE"""),"Fire-Breath")</f>
        <v>Fire-Breath</v>
      </c>
      <c r="X101" s="62" t="str">
        <f>IFERROR(__xludf.DUMMYFUNCTION("""COMPUTED_VALUE"""),"Lizalfos")</f>
        <v>Lizalfos</v>
      </c>
      <c r="Y101" s="62" t="str">
        <f>IFERROR(__xludf.DUMMYFUNCTION("""COMPUTED_VALUE"""),"Tail")</f>
        <v>Tail</v>
      </c>
      <c r="Z101" s="62"/>
      <c r="AA101" s="62"/>
      <c r="AB101" s="63"/>
      <c r="AC101" s="62" t="str">
        <f t="shared" si="2"/>
        <v>Fire-Breath Lizalfos Tail</v>
      </c>
    </row>
    <row r="102">
      <c r="A102" s="62" t="str">
        <f>IFERROR(__xludf.DUMMYFUNCTION("iferror(SPLIT(Tracker!L103,CHAR(10)),"""")"),"N/A")</f>
        <v>N/A</v>
      </c>
      <c r="B102" s="62"/>
      <c r="C102" s="62"/>
      <c r="D102" s="62"/>
      <c r="E102" s="63"/>
      <c r="F102" s="62" t="str">
        <f>IFERROR(__xludf.DUMMYFUNCTION("iferror(SPLIT(Tracker!N103,CHAR(10)),"""")"),"N/A")</f>
        <v>N/A</v>
      </c>
      <c r="G102" s="62"/>
      <c r="H102" s="62"/>
      <c r="I102" s="62"/>
      <c r="J102" s="63"/>
      <c r="K102" s="62" t="str">
        <f>IFERROR(__xludf.DUMMYFUNCTION("iferror(SPLIT(Tracker!P103,CHAR(10)),"""")"),"N/A")</f>
        <v>N/A</v>
      </c>
      <c r="L102" s="62"/>
      <c r="M102" s="62"/>
      <c r="N102" s="62"/>
      <c r="O102" s="63"/>
      <c r="P102" s="62" t="str">
        <f>IFERROR(__xludf.DUMMYFUNCTION("iferror(SPLIT(Tracker!R103,CHAR(10)),"""")"),"N/A")</f>
        <v>N/A</v>
      </c>
      <c r="Q102" s="62"/>
      <c r="R102" s="62"/>
      <c r="S102" s="62"/>
      <c r="T102" s="63"/>
      <c r="U102" s="62" t="str">
        <f>IFERROR(__xludf.DUMMYFUNCTION("""COMPUTED_VALUE"""),"5 Sunshroom")</f>
        <v>5 Sunshroom</v>
      </c>
      <c r="V102" s="62">
        <f>IFERROR(__xludf.DUMMYFUNCTION("SPLIT(U102,"" "")"),5.0)</f>
        <v>5</v>
      </c>
      <c r="W102" s="62" t="str">
        <f>IFERROR(__xludf.DUMMYFUNCTION("""COMPUTED_VALUE"""),"Sunshroom")</f>
        <v>Sunshroom</v>
      </c>
      <c r="X102" s="62"/>
      <c r="Y102" s="62"/>
      <c r="Z102" s="62"/>
      <c r="AA102" s="62"/>
      <c r="AB102" s="63"/>
      <c r="AC102" s="62" t="str">
        <f t="shared" si="2"/>
        <v>Sunshroom</v>
      </c>
    </row>
    <row r="103">
      <c r="A103" s="62" t="str">
        <f>IFERROR(__xludf.DUMMYFUNCTION("iferror(SPLIT(Tracker!L104,CHAR(10)),"""")"),"N/A")</f>
        <v>N/A</v>
      </c>
      <c r="B103" s="62"/>
      <c r="C103" s="62"/>
      <c r="D103" s="62"/>
      <c r="E103" s="63"/>
      <c r="F103" s="62" t="str">
        <f>IFERROR(__xludf.DUMMYFUNCTION("iferror(SPLIT(Tracker!N104,CHAR(10)),"""")"),"N/A")</f>
        <v>N/A</v>
      </c>
      <c r="G103" s="62"/>
      <c r="H103" s="62"/>
      <c r="I103" s="62"/>
      <c r="J103" s="63"/>
      <c r="K103" s="62" t="str">
        <f>IFERROR(__xludf.DUMMYFUNCTION("iferror(SPLIT(Tracker!P104,CHAR(10)),"""")"),"N/A")</f>
        <v>N/A</v>
      </c>
      <c r="L103" s="62"/>
      <c r="M103" s="62"/>
      <c r="N103" s="62"/>
      <c r="O103" s="63"/>
      <c r="P103" s="62" t="str">
        <f>IFERROR(__xludf.DUMMYFUNCTION("iferror(SPLIT(Tracker!R104,CHAR(10)),"""")"),"N/A")</f>
        <v>N/A</v>
      </c>
      <c r="Q103" s="62"/>
      <c r="R103" s="62"/>
      <c r="S103" s="62"/>
      <c r="T103" s="63"/>
      <c r="U103" s="62" t="str">
        <f>IFERROR(__xludf.DUMMYFUNCTION("""COMPUTED_VALUE"""),"5 Fire-Breath Lizalfos Horn")</f>
        <v>5 Fire-Breath Lizalfos Horn</v>
      </c>
      <c r="V103" s="62">
        <f>IFERROR(__xludf.DUMMYFUNCTION("SPLIT(U103,"" "")"),5.0)</f>
        <v>5</v>
      </c>
      <c r="W103" s="62" t="str">
        <f>IFERROR(__xludf.DUMMYFUNCTION("""COMPUTED_VALUE"""),"Fire-Breath")</f>
        <v>Fire-Breath</v>
      </c>
      <c r="X103" s="62" t="str">
        <f>IFERROR(__xludf.DUMMYFUNCTION("""COMPUTED_VALUE"""),"Lizalfos")</f>
        <v>Lizalfos</v>
      </c>
      <c r="Y103" s="62" t="str">
        <f>IFERROR(__xludf.DUMMYFUNCTION("""COMPUTED_VALUE"""),"Horn")</f>
        <v>Horn</v>
      </c>
      <c r="Z103" s="62"/>
      <c r="AA103" s="62"/>
      <c r="AB103" s="63"/>
      <c r="AC103" s="62" t="str">
        <f t="shared" si="2"/>
        <v>Fire-Breath Lizalfos Horn</v>
      </c>
    </row>
    <row r="104">
      <c r="A104" s="62" t="str">
        <f>IFERROR(__xludf.DUMMYFUNCTION("iferror(SPLIT(Tracker!L105,CHAR(10)),"""")"),"N/A")</f>
        <v>N/A</v>
      </c>
      <c r="B104" s="62"/>
      <c r="C104" s="62"/>
      <c r="D104" s="62"/>
      <c r="E104" s="63"/>
      <c r="F104" s="62" t="str">
        <f>IFERROR(__xludf.DUMMYFUNCTION("iferror(SPLIT(Tracker!N105,CHAR(10)),"""")"),"N/A")</f>
        <v>N/A</v>
      </c>
      <c r="G104" s="62"/>
      <c r="H104" s="62"/>
      <c r="I104" s="62"/>
      <c r="J104" s="63"/>
      <c r="K104" s="62" t="str">
        <f>IFERROR(__xludf.DUMMYFUNCTION("iferror(SPLIT(Tracker!P105,CHAR(10)),"""")"),"N/A")</f>
        <v>N/A</v>
      </c>
      <c r="L104" s="62"/>
      <c r="M104" s="62"/>
      <c r="N104" s="62"/>
      <c r="O104" s="63"/>
      <c r="P104" s="62" t="str">
        <f>IFERROR(__xludf.DUMMYFUNCTION("iferror(SPLIT(Tracker!R105,CHAR(10)),"""")"),"N/A")</f>
        <v>N/A</v>
      </c>
      <c r="Q104" s="62"/>
      <c r="R104" s="62"/>
      <c r="S104" s="62"/>
      <c r="T104" s="63"/>
      <c r="U104" s="62" t="str">
        <f>IFERROR(__xludf.DUMMYFUNCTION("""COMPUTED_VALUE"""),"10 Fire-Breath Lizalfos Tail")</f>
        <v>10 Fire-Breath Lizalfos Tail</v>
      </c>
      <c r="V104" s="62">
        <f>IFERROR(__xludf.DUMMYFUNCTION("SPLIT(U104,"" "")"),10.0)</f>
        <v>10</v>
      </c>
      <c r="W104" s="62" t="str">
        <f>IFERROR(__xludf.DUMMYFUNCTION("""COMPUTED_VALUE"""),"Fire-Breath")</f>
        <v>Fire-Breath</v>
      </c>
      <c r="X104" s="62" t="str">
        <f>IFERROR(__xludf.DUMMYFUNCTION("""COMPUTED_VALUE"""),"Lizalfos")</f>
        <v>Lizalfos</v>
      </c>
      <c r="Y104" s="62" t="str">
        <f>IFERROR(__xludf.DUMMYFUNCTION("""COMPUTED_VALUE"""),"Tail")</f>
        <v>Tail</v>
      </c>
      <c r="Z104" s="62"/>
      <c r="AA104" s="62"/>
      <c r="AB104" s="63"/>
      <c r="AC104" s="62" t="str">
        <f t="shared" si="2"/>
        <v>Fire-Breath Lizalfos Tail</v>
      </c>
    </row>
    <row r="105">
      <c r="A105" s="62" t="str">
        <f>IFERROR(__xludf.DUMMYFUNCTION("iferror(SPLIT(Tracker!L106,CHAR(10)),"""")"),"N/A")</f>
        <v>N/A</v>
      </c>
      <c r="B105" s="62"/>
      <c r="C105" s="62"/>
      <c r="D105" s="62"/>
      <c r="E105" s="63"/>
      <c r="F105" s="62" t="str">
        <f>IFERROR(__xludf.DUMMYFUNCTION("iferror(SPLIT(Tracker!N106,CHAR(10)),"""")"),"N/A")</f>
        <v>N/A</v>
      </c>
      <c r="G105" s="62"/>
      <c r="H105" s="62"/>
      <c r="I105" s="62"/>
      <c r="J105" s="63"/>
      <c r="K105" s="62" t="str">
        <f>IFERROR(__xludf.DUMMYFUNCTION("iferror(SPLIT(Tracker!P106,CHAR(10)),"""")"),"N/A")</f>
        <v>N/A</v>
      </c>
      <c r="L105" s="62"/>
      <c r="M105" s="62"/>
      <c r="N105" s="62"/>
      <c r="O105" s="63"/>
      <c r="P105" s="62" t="str">
        <f>IFERROR(__xludf.DUMMYFUNCTION("iferror(SPLIT(Tracker!R106,CHAR(10)),"""")"),"N/A")</f>
        <v>N/A</v>
      </c>
      <c r="Q105" s="62"/>
      <c r="R105" s="62"/>
      <c r="S105" s="62"/>
      <c r="T105" s="63"/>
      <c r="U105" s="62" t="str">
        <f>IFERROR(__xludf.DUMMYFUNCTION("""COMPUTED_VALUE"""),"5 Ruby")</f>
        <v>5 Ruby</v>
      </c>
      <c r="V105" s="62">
        <f>IFERROR(__xludf.DUMMYFUNCTION("SPLIT(U105,"" "")"),5.0)</f>
        <v>5</v>
      </c>
      <c r="W105" s="62" t="str">
        <f>IFERROR(__xludf.DUMMYFUNCTION("""COMPUTED_VALUE"""),"Ruby")</f>
        <v>Ruby</v>
      </c>
      <c r="X105" s="62"/>
      <c r="Y105" s="62"/>
      <c r="Z105" s="62"/>
      <c r="AA105" s="62"/>
      <c r="AB105" s="63"/>
      <c r="AC105" s="62" t="str">
        <f t="shared" si="2"/>
        <v>Ruby</v>
      </c>
    </row>
    <row r="106">
      <c r="A106" s="62" t="str">
        <f>IFERROR(__xludf.DUMMYFUNCTION("iferror(SPLIT(Tracker!L107,CHAR(10)),"""")"),"N/A")</f>
        <v>N/A</v>
      </c>
      <c r="B106" s="62"/>
      <c r="C106" s="62"/>
      <c r="D106" s="62"/>
      <c r="E106" s="63"/>
      <c r="F106" s="62" t="str">
        <f>IFERROR(__xludf.DUMMYFUNCTION("iferror(SPLIT(Tracker!N107,CHAR(10)),"""")"),"N/A")</f>
        <v>N/A</v>
      </c>
      <c r="G106" s="62"/>
      <c r="H106" s="62"/>
      <c r="I106" s="62"/>
      <c r="J106" s="63"/>
      <c r="K106" s="62" t="str">
        <f>IFERROR(__xludf.DUMMYFUNCTION("iferror(SPLIT(Tracker!P107,CHAR(10)),"""")"),"N/A")</f>
        <v>N/A</v>
      </c>
      <c r="L106" s="62"/>
      <c r="M106" s="62"/>
      <c r="N106" s="62"/>
      <c r="O106" s="63"/>
      <c r="P106" s="62" t="str">
        <f>IFERROR(__xludf.DUMMYFUNCTION("iferror(SPLIT(Tracker!R107,CHAR(10)),"""")"),"N/A")</f>
        <v>N/A</v>
      </c>
      <c r="Q106" s="62"/>
      <c r="R106" s="62"/>
      <c r="S106" s="62"/>
      <c r="T106" s="63"/>
      <c r="U106" s="62" t="str">
        <f>IFERROR(__xludf.DUMMYFUNCTION("""COMPUTED_VALUE"""),"3 Moblin Horn")</f>
        <v>3 Moblin Horn</v>
      </c>
      <c r="V106" s="62">
        <f>IFERROR(__xludf.DUMMYFUNCTION("SPLIT(U106,"" "")"),3.0)</f>
        <v>3</v>
      </c>
      <c r="W106" s="62" t="str">
        <f>IFERROR(__xludf.DUMMYFUNCTION("""COMPUTED_VALUE"""),"Moblin")</f>
        <v>Moblin</v>
      </c>
      <c r="X106" s="62" t="str">
        <f>IFERROR(__xludf.DUMMYFUNCTION("""COMPUTED_VALUE"""),"Horn")</f>
        <v>Horn</v>
      </c>
      <c r="Y106" s="62"/>
      <c r="Z106" s="62"/>
      <c r="AA106" s="62"/>
      <c r="AB106" s="63"/>
      <c r="AC106" s="62" t="str">
        <f t="shared" si="2"/>
        <v>Moblin Horn</v>
      </c>
    </row>
    <row r="107">
      <c r="A107" s="62" t="str">
        <f>IFERROR(__xludf.DUMMYFUNCTION("iferror(SPLIT(Tracker!L108,CHAR(10)),"""")"),"N/A")</f>
        <v>N/A</v>
      </c>
      <c r="B107" s="62"/>
      <c r="C107" s="62"/>
      <c r="D107" s="62"/>
      <c r="E107" s="63"/>
      <c r="F107" s="62" t="str">
        <f>IFERROR(__xludf.DUMMYFUNCTION("iferror(SPLIT(Tracker!N108,CHAR(10)),"""")"),"N/A")</f>
        <v>N/A</v>
      </c>
      <c r="G107" s="62"/>
      <c r="H107" s="62"/>
      <c r="I107" s="62"/>
      <c r="J107" s="63"/>
      <c r="K107" s="62" t="str">
        <f>IFERROR(__xludf.DUMMYFUNCTION("iferror(SPLIT(Tracker!P108,CHAR(10)),"""")"),"N/A")</f>
        <v>N/A</v>
      </c>
      <c r="L107" s="62"/>
      <c r="M107" s="62"/>
      <c r="N107" s="62"/>
      <c r="O107" s="63"/>
      <c r="P107" s="62" t="str">
        <f>IFERROR(__xludf.DUMMYFUNCTION("iferror(SPLIT(Tracker!R108,CHAR(10)),"""")"),"N/A")</f>
        <v>N/A</v>
      </c>
      <c r="Q107" s="62"/>
      <c r="R107" s="62"/>
      <c r="S107" s="62"/>
      <c r="T107" s="63"/>
      <c r="U107" s="62" t="str">
        <f>IFERROR(__xludf.DUMMYFUNCTION("""COMPUTED_VALUE"""),"5 Moblin Fang")</f>
        <v>5 Moblin Fang</v>
      </c>
      <c r="V107" s="62">
        <f>IFERROR(__xludf.DUMMYFUNCTION("SPLIT(U107,"" "")"),5.0)</f>
        <v>5</v>
      </c>
      <c r="W107" s="62" t="str">
        <f>IFERROR(__xludf.DUMMYFUNCTION("""COMPUTED_VALUE"""),"Moblin")</f>
        <v>Moblin</v>
      </c>
      <c r="X107" s="62" t="str">
        <f>IFERROR(__xludf.DUMMYFUNCTION("""COMPUTED_VALUE"""),"Fang")</f>
        <v>Fang</v>
      </c>
      <c r="Y107" s="62"/>
      <c r="Z107" s="62"/>
      <c r="AA107" s="62"/>
      <c r="AB107" s="63"/>
      <c r="AC107" s="62" t="str">
        <f t="shared" si="2"/>
        <v>Moblin Fang</v>
      </c>
    </row>
    <row r="108">
      <c r="A108" s="62" t="str">
        <f>IFERROR(__xludf.DUMMYFUNCTION("iferror(SPLIT(Tracker!L109,CHAR(10)),"""")"),"1 Silent Princess")</f>
        <v>1 Silent Princess</v>
      </c>
      <c r="B108" s="62" t="str">
        <f>IFERROR(__xludf.DUMMYFUNCTION("""COMPUTED_VALUE"""),"1 Star Fragment")</f>
        <v>1 Star Fragment</v>
      </c>
      <c r="C108" s="62"/>
      <c r="D108" s="62"/>
      <c r="E108" s="63"/>
      <c r="F108" s="62" t="str">
        <f>IFERROR(__xludf.DUMMYFUNCTION("iferror(SPLIT(Tracker!N109,CHAR(10)),"""")"),"2 Silent Princess")</f>
        <v>2 Silent Princess</v>
      </c>
      <c r="G108" s="62" t="str">
        <f>IFERROR(__xludf.DUMMYFUNCTION("""COMPUTED_VALUE"""),"2 Star Fragment")</f>
        <v>2 Star Fragment</v>
      </c>
      <c r="H108" s="62"/>
      <c r="I108" s="62"/>
      <c r="J108" s="63"/>
      <c r="K108" s="62" t="str">
        <f>IFERROR(__xludf.DUMMYFUNCTION("iferror(SPLIT(Tracker!P109,CHAR(10)),"""")"),"4 Silent Princess")</f>
        <v>4 Silent Princess</v>
      </c>
      <c r="L108" s="62" t="str">
        <f>IFERROR(__xludf.DUMMYFUNCTION("""COMPUTED_VALUE"""),"3 Star Fragment")</f>
        <v>3 Star Fragment</v>
      </c>
      <c r="M108" s="62"/>
      <c r="N108" s="62"/>
      <c r="O108" s="63"/>
      <c r="P108" s="62" t="str">
        <f>IFERROR(__xludf.DUMMYFUNCTION("iferror(SPLIT(Tracker!R109,CHAR(10)),"""")"),"8 Silent Princess")</f>
        <v>8 Silent Princess</v>
      </c>
      <c r="Q108" s="62" t="str">
        <f>IFERROR(__xludf.DUMMYFUNCTION("""COMPUTED_VALUE"""),"4 Star Fragment")</f>
        <v>4 Star Fragment</v>
      </c>
      <c r="R108" s="62"/>
      <c r="S108" s="62"/>
      <c r="T108" s="63"/>
      <c r="U108" s="62" t="str">
        <f>IFERROR(__xludf.DUMMYFUNCTION("""COMPUTED_VALUE"""),"5 Fireproof Lizard")</f>
        <v>5 Fireproof Lizard</v>
      </c>
      <c r="V108" s="62">
        <f>IFERROR(__xludf.DUMMYFUNCTION("SPLIT(U108,"" "")"),5.0)</f>
        <v>5</v>
      </c>
      <c r="W108" s="62" t="str">
        <f>IFERROR(__xludf.DUMMYFUNCTION("""COMPUTED_VALUE"""),"Fireproof")</f>
        <v>Fireproof</v>
      </c>
      <c r="X108" s="62" t="str">
        <f>IFERROR(__xludf.DUMMYFUNCTION("""COMPUTED_VALUE"""),"Lizard")</f>
        <v>Lizard</v>
      </c>
      <c r="Y108" s="62"/>
      <c r="Z108" s="62"/>
      <c r="AA108" s="62"/>
      <c r="AB108" s="63"/>
      <c r="AC108" s="62" t="str">
        <f t="shared" si="2"/>
        <v>Fireproof Lizard</v>
      </c>
    </row>
    <row r="109">
      <c r="A109" s="62" t="str">
        <f>IFERROR(__xludf.DUMMYFUNCTION("iferror(SPLIT(Tracker!L110,CHAR(10)),"""")"),"N/A")</f>
        <v>N/A</v>
      </c>
      <c r="B109" s="62"/>
      <c r="C109" s="62"/>
      <c r="D109" s="62"/>
      <c r="E109" s="63"/>
      <c r="F109" s="62" t="str">
        <f>IFERROR(__xludf.DUMMYFUNCTION("iferror(SPLIT(Tracker!N110,CHAR(10)),"""")"),"N/A")</f>
        <v>N/A</v>
      </c>
      <c r="G109" s="62"/>
      <c r="H109" s="62"/>
      <c r="I109" s="62"/>
      <c r="J109" s="63"/>
      <c r="K109" s="62" t="str">
        <f>IFERROR(__xludf.DUMMYFUNCTION("iferror(SPLIT(Tracker!P110,CHAR(10)),"""")"),"N/A")</f>
        <v>N/A</v>
      </c>
      <c r="L109" s="62"/>
      <c r="M109" s="62"/>
      <c r="N109" s="62"/>
      <c r="O109" s="63"/>
      <c r="P109" s="62" t="str">
        <f>IFERROR(__xludf.DUMMYFUNCTION("iferror(SPLIT(Tracker!R110,CHAR(10)),"""")"),"N/A")</f>
        <v>N/A</v>
      </c>
      <c r="Q109" s="62"/>
      <c r="R109" s="62"/>
      <c r="S109" s="62"/>
      <c r="T109" s="63"/>
      <c r="U109" s="62" t="str">
        <f>IFERROR(__xludf.DUMMYFUNCTION("""COMPUTED_VALUE"""),"5 Blue Moblin Horn")</f>
        <v>5 Blue Moblin Horn</v>
      </c>
      <c r="V109" s="62">
        <f>IFERROR(__xludf.DUMMYFUNCTION("SPLIT(U109,"" "")"),5.0)</f>
        <v>5</v>
      </c>
      <c r="W109" s="62" t="str">
        <f>IFERROR(__xludf.DUMMYFUNCTION("""COMPUTED_VALUE"""),"Blue")</f>
        <v>Blue</v>
      </c>
      <c r="X109" s="62" t="str">
        <f>IFERROR(__xludf.DUMMYFUNCTION("""COMPUTED_VALUE"""),"Moblin")</f>
        <v>Moblin</v>
      </c>
      <c r="Y109" s="62" t="str">
        <f>IFERROR(__xludf.DUMMYFUNCTION("""COMPUTED_VALUE"""),"Horn")</f>
        <v>Horn</v>
      </c>
      <c r="Z109" s="62"/>
      <c r="AA109" s="62"/>
      <c r="AB109" s="63"/>
      <c r="AC109" s="62" t="str">
        <f t="shared" si="2"/>
        <v>Blue Moblin Horn</v>
      </c>
    </row>
    <row r="110">
      <c r="A110" s="62" t="str">
        <f>IFERROR(__xludf.DUMMYFUNCTION("iferror(SPLIT(Tracker!L111,CHAR(10)),"""")"),"N/A")</f>
        <v>N/A</v>
      </c>
      <c r="B110" s="62"/>
      <c r="C110" s="62"/>
      <c r="D110" s="62"/>
      <c r="E110" s="63"/>
      <c r="F110" s="62" t="str">
        <f>IFERROR(__xludf.DUMMYFUNCTION("iferror(SPLIT(Tracker!N111,CHAR(10)),"""")"),"N/A")</f>
        <v>N/A</v>
      </c>
      <c r="G110" s="62"/>
      <c r="H110" s="62"/>
      <c r="I110" s="62"/>
      <c r="J110" s="63"/>
      <c r="K110" s="62" t="str">
        <f>IFERROR(__xludf.DUMMYFUNCTION("iferror(SPLIT(Tracker!P111,CHAR(10)),"""")"),"N/A")</f>
        <v>N/A</v>
      </c>
      <c r="L110" s="62"/>
      <c r="M110" s="62"/>
      <c r="N110" s="62"/>
      <c r="O110" s="63"/>
      <c r="P110" s="62" t="str">
        <f>IFERROR(__xludf.DUMMYFUNCTION("iferror(SPLIT(Tracker!R111,CHAR(10)),"""")"),"N/A")</f>
        <v>N/A</v>
      </c>
      <c r="Q110" s="62"/>
      <c r="R110" s="62"/>
      <c r="S110" s="62"/>
      <c r="T110" s="63"/>
      <c r="U110" s="62" t="str">
        <f>IFERROR(__xludf.DUMMYFUNCTION("""COMPUTED_VALUE"""),"3 Smotherwing Butterfly")</f>
        <v>3 Smotherwing Butterfly</v>
      </c>
      <c r="V110" s="62">
        <f>IFERROR(__xludf.DUMMYFUNCTION("SPLIT(U110,"" "")"),3.0)</f>
        <v>3</v>
      </c>
      <c r="W110" s="62" t="str">
        <f>IFERROR(__xludf.DUMMYFUNCTION("""COMPUTED_VALUE"""),"Smotherwing")</f>
        <v>Smotherwing</v>
      </c>
      <c r="X110" s="62" t="str">
        <f>IFERROR(__xludf.DUMMYFUNCTION("""COMPUTED_VALUE"""),"Butterfly")</f>
        <v>Butterfly</v>
      </c>
      <c r="Y110" s="62"/>
      <c r="Z110" s="62"/>
      <c r="AA110" s="62"/>
      <c r="AB110" s="63"/>
      <c r="AC110" s="62" t="str">
        <f t="shared" si="2"/>
        <v>Smotherwing Butterfly</v>
      </c>
    </row>
    <row r="111">
      <c r="A111" s="62" t="str">
        <f>IFERROR(__xludf.DUMMYFUNCTION("iferror(SPLIT(Tracker!L112,CHAR(10)),"""")"),"N/A")</f>
        <v>N/A</v>
      </c>
      <c r="B111" s="62"/>
      <c r="C111" s="62"/>
      <c r="D111" s="62"/>
      <c r="E111" s="63"/>
      <c r="F111" s="62" t="str">
        <f>IFERROR(__xludf.DUMMYFUNCTION("iferror(SPLIT(Tracker!N112,CHAR(10)),"""")"),"N/A")</f>
        <v>N/A</v>
      </c>
      <c r="G111" s="62"/>
      <c r="H111" s="62"/>
      <c r="I111" s="62"/>
      <c r="J111" s="63"/>
      <c r="K111" s="62" t="str">
        <f>IFERROR(__xludf.DUMMYFUNCTION("iferror(SPLIT(Tracker!P112,CHAR(10)),"""")"),"N/A")</f>
        <v>N/A</v>
      </c>
      <c r="L111" s="62"/>
      <c r="M111" s="62"/>
      <c r="N111" s="62"/>
      <c r="O111" s="63"/>
      <c r="P111" s="62" t="str">
        <f>IFERROR(__xludf.DUMMYFUNCTION("iferror(SPLIT(Tracker!R112,CHAR(10)),"""")"),"N/A")</f>
        <v>N/A</v>
      </c>
      <c r="Q111" s="62"/>
      <c r="R111" s="62"/>
      <c r="S111" s="62"/>
      <c r="T111" s="63"/>
      <c r="U111" s="62" t="str">
        <f>IFERROR(__xludf.DUMMYFUNCTION("""COMPUTED_VALUE"""),"15 Flint")</f>
        <v>15 Flint</v>
      </c>
      <c r="V111" s="62">
        <f>IFERROR(__xludf.DUMMYFUNCTION("SPLIT(U111,"" "")"),15.0)</f>
        <v>15</v>
      </c>
      <c r="W111" s="62" t="str">
        <f>IFERROR(__xludf.DUMMYFUNCTION("""COMPUTED_VALUE"""),"Flint")</f>
        <v>Flint</v>
      </c>
      <c r="X111" s="62"/>
      <c r="Y111" s="62"/>
      <c r="Z111" s="62"/>
      <c r="AA111" s="62"/>
      <c r="AB111" s="63"/>
      <c r="AC111" s="62" t="str">
        <f t="shared" si="2"/>
        <v>Flint</v>
      </c>
    </row>
    <row r="112">
      <c r="A112" s="62" t="str">
        <f>IFERROR(__xludf.DUMMYFUNCTION("iferror(SPLIT(Tracker!L113,CHAR(10)),"""")"),"5 Hinox Toenail")</f>
        <v>5 Hinox Toenail</v>
      </c>
      <c r="B112" s="62" t="str">
        <f>IFERROR(__xludf.DUMMYFUNCTION("""COMPUTED_VALUE"""),"1 Dinraal's Scale")</f>
        <v>1 Dinraal's Scale</v>
      </c>
      <c r="C112" s="62"/>
      <c r="D112" s="62"/>
      <c r="E112" s="63"/>
      <c r="F112" s="62" t="str">
        <f>IFERROR(__xludf.DUMMYFUNCTION("iferror(SPLIT(Tracker!N113,CHAR(10)),"""")"),"5 Hinox Tooth")</f>
        <v>5 Hinox Tooth</v>
      </c>
      <c r="G112" s="62" t="str">
        <f>IFERROR(__xludf.DUMMYFUNCTION("""COMPUTED_VALUE"""),"1 Dinraal's Claw")</f>
        <v>1 Dinraal's Claw</v>
      </c>
      <c r="H112" s="62"/>
      <c r="I112" s="62"/>
      <c r="J112" s="63"/>
      <c r="K112" s="62" t="str">
        <f>IFERROR(__xludf.DUMMYFUNCTION("iferror(SPLIT(Tracker!P113,CHAR(10)),"""")"),"2 Hinox Guts")</f>
        <v>2 Hinox Guts</v>
      </c>
      <c r="L112" s="62" t="str">
        <f>IFERROR(__xludf.DUMMYFUNCTION("""COMPUTED_VALUE"""),"1 Shard of Dinraal's Fang")</f>
        <v>1 Shard of Dinraal's Fang</v>
      </c>
      <c r="M112" s="62"/>
      <c r="N112" s="62"/>
      <c r="O112" s="63"/>
      <c r="P112" s="62" t="str">
        <f>IFERROR(__xludf.DUMMYFUNCTION("iferror(SPLIT(Tracker!R113,CHAR(10)),"""")"),"2 Lynel Guts")</f>
        <v>2 Lynel Guts</v>
      </c>
      <c r="Q112" s="62" t="str">
        <f>IFERROR(__xludf.DUMMYFUNCTION("""COMPUTED_VALUE"""),"1 Dinraal's Horn")</f>
        <v>1 Dinraal's Horn</v>
      </c>
      <c r="R112" s="62"/>
      <c r="S112" s="62"/>
      <c r="T112" s="63"/>
      <c r="U112" s="62" t="str">
        <f>IFERROR(__xludf.DUMMYFUNCTION("""COMPUTED_VALUE"""),"5 Black Moblin Horn")</f>
        <v>5 Black Moblin Horn</v>
      </c>
      <c r="V112" s="62">
        <f>IFERROR(__xludf.DUMMYFUNCTION("SPLIT(U112,"" "")"),5.0)</f>
        <v>5</v>
      </c>
      <c r="W112" s="62" t="str">
        <f>IFERROR(__xludf.DUMMYFUNCTION("""COMPUTED_VALUE"""),"Black")</f>
        <v>Black</v>
      </c>
      <c r="X112" s="62" t="str">
        <f>IFERROR(__xludf.DUMMYFUNCTION("""COMPUTED_VALUE"""),"Moblin")</f>
        <v>Moblin</v>
      </c>
      <c r="Y112" s="62" t="str">
        <f>IFERROR(__xludf.DUMMYFUNCTION("""COMPUTED_VALUE"""),"Horn")</f>
        <v>Horn</v>
      </c>
      <c r="Z112" s="62"/>
      <c r="AA112" s="62"/>
      <c r="AB112" s="63"/>
      <c r="AC112" s="62" t="str">
        <f t="shared" si="2"/>
        <v>Black Moblin Horn</v>
      </c>
    </row>
    <row r="113">
      <c r="A113" s="62" t="str">
        <f>IFERROR(__xludf.DUMMYFUNCTION("iferror(SPLIT(Tracker!L114,CHAR(10)),"""")"),"5 Hinox Toenail")</f>
        <v>5 Hinox Toenail</v>
      </c>
      <c r="B113" s="62" t="str">
        <f>IFERROR(__xludf.DUMMYFUNCTION("""COMPUTED_VALUE"""),"1 Naydra's Scale")</f>
        <v>1 Naydra's Scale</v>
      </c>
      <c r="C113" s="62"/>
      <c r="D113" s="62"/>
      <c r="E113" s="63"/>
      <c r="F113" s="62" t="str">
        <f>IFERROR(__xludf.DUMMYFUNCTION("iferror(SPLIT(Tracker!N114,CHAR(10)),"""")"),"5 Hinox Tooth")</f>
        <v>5 Hinox Tooth</v>
      </c>
      <c r="G113" s="62" t="str">
        <f>IFERROR(__xludf.DUMMYFUNCTION("""COMPUTED_VALUE"""),"1 Naydra's Claw")</f>
        <v>1 Naydra's Claw</v>
      </c>
      <c r="H113" s="62"/>
      <c r="I113" s="62"/>
      <c r="J113" s="63"/>
      <c r="K113" s="62" t="str">
        <f>IFERROR(__xludf.DUMMYFUNCTION("iferror(SPLIT(Tracker!P114,CHAR(10)),"""")"),"2 Hinox Guts")</f>
        <v>2 Hinox Guts</v>
      </c>
      <c r="L113" s="62" t="str">
        <f>IFERROR(__xludf.DUMMYFUNCTION("""COMPUTED_VALUE"""),"1 Shard of Naydra's Fang")</f>
        <v>1 Shard of Naydra's Fang</v>
      </c>
      <c r="M113" s="62"/>
      <c r="N113" s="62"/>
      <c r="O113" s="63"/>
      <c r="P113" s="62" t="str">
        <f>IFERROR(__xludf.DUMMYFUNCTION("iferror(SPLIT(Tracker!R114,CHAR(10)),"""")"),"2 Lynel Guts")</f>
        <v>2 Lynel Guts</v>
      </c>
      <c r="Q113" s="62" t="str">
        <f>IFERROR(__xludf.DUMMYFUNCTION("""COMPUTED_VALUE"""),"1 Naydra's Horn")</f>
        <v>1 Naydra's Horn</v>
      </c>
      <c r="R113" s="62"/>
      <c r="S113" s="62"/>
      <c r="T113" s="63"/>
      <c r="U113" s="62" t="str">
        <f>IFERROR(__xludf.DUMMYFUNCTION("""COMPUTED_VALUE"""),"5 Smotherwing Butterfly")</f>
        <v>5 Smotherwing Butterfly</v>
      </c>
      <c r="V113" s="62">
        <f>IFERROR(__xludf.DUMMYFUNCTION("SPLIT(U113,"" "")"),5.0)</f>
        <v>5</v>
      </c>
      <c r="W113" s="62" t="str">
        <f>IFERROR(__xludf.DUMMYFUNCTION("""COMPUTED_VALUE"""),"Smotherwing")</f>
        <v>Smotherwing</v>
      </c>
      <c r="X113" s="62" t="str">
        <f>IFERROR(__xludf.DUMMYFUNCTION("""COMPUTED_VALUE"""),"Butterfly")</f>
        <v>Butterfly</v>
      </c>
      <c r="Y113" s="62"/>
      <c r="Z113" s="62"/>
      <c r="AA113" s="62"/>
      <c r="AB113" s="63"/>
      <c r="AC113" s="62" t="str">
        <f t="shared" si="2"/>
        <v>Smotherwing Butterfly</v>
      </c>
    </row>
    <row r="114">
      <c r="A114" s="62" t="str">
        <f>IFERROR(__xludf.DUMMYFUNCTION("iferror(SPLIT(Tracker!L115,CHAR(10)),"""")"),"5 Hinox Toenail")</f>
        <v>5 Hinox Toenail</v>
      </c>
      <c r="B114" s="62" t="str">
        <f>IFERROR(__xludf.DUMMYFUNCTION("""COMPUTED_VALUE"""),"1 Farosh's Scale")</f>
        <v>1 Farosh's Scale</v>
      </c>
      <c r="C114" s="62"/>
      <c r="D114" s="62"/>
      <c r="E114" s="63"/>
      <c r="F114" s="62" t="str">
        <f>IFERROR(__xludf.DUMMYFUNCTION("iferror(SPLIT(Tracker!N115,CHAR(10)),"""")"),"5 Hinox Tooth")</f>
        <v>5 Hinox Tooth</v>
      </c>
      <c r="G114" s="62" t="str">
        <f>IFERROR(__xludf.DUMMYFUNCTION("""COMPUTED_VALUE"""),"1 Farosh's Claw")</f>
        <v>1 Farosh's Claw</v>
      </c>
      <c r="H114" s="62"/>
      <c r="I114" s="62"/>
      <c r="J114" s="63"/>
      <c r="K114" s="62" t="str">
        <f>IFERROR(__xludf.DUMMYFUNCTION("iferror(SPLIT(Tracker!P115,CHAR(10)),"""")"),"2 Hinox Guts")</f>
        <v>2 Hinox Guts</v>
      </c>
      <c r="L114" s="62" t="str">
        <f>IFERROR(__xludf.DUMMYFUNCTION("""COMPUTED_VALUE"""),"1 Shard of Farosh's Fang")</f>
        <v>1 Shard of Farosh's Fang</v>
      </c>
      <c r="M114" s="62"/>
      <c r="N114" s="62"/>
      <c r="O114" s="63"/>
      <c r="P114" s="62" t="str">
        <f>IFERROR(__xludf.DUMMYFUNCTION("iferror(SPLIT(Tracker!R115,CHAR(10)),"""")"),"2 Lynel Guts")</f>
        <v>2 Lynel Guts</v>
      </c>
      <c r="Q114" s="62" t="str">
        <f>IFERROR(__xludf.DUMMYFUNCTION("""COMPUTED_VALUE"""),"1 Farosh's Horn")</f>
        <v>1 Farosh's Horn</v>
      </c>
      <c r="R114" s="62"/>
      <c r="S114" s="62"/>
      <c r="T114" s="63"/>
      <c r="U114" s="62" t="str">
        <f>IFERROR(__xludf.DUMMYFUNCTION("""COMPUTED_VALUE"""),"30 Flint")</f>
        <v>30 Flint</v>
      </c>
      <c r="V114" s="62">
        <f>IFERROR(__xludf.DUMMYFUNCTION("SPLIT(U114,"" "")"),30.0)</f>
        <v>30</v>
      </c>
      <c r="W114" s="62" t="str">
        <f>IFERROR(__xludf.DUMMYFUNCTION("""COMPUTED_VALUE"""),"Flint")</f>
        <v>Flint</v>
      </c>
      <c r="X114" s="62"/>
      <c r="Y114" s="62"/>
      <c r="Z114" s="62"/>
      <c r="AA114" s="62"/>
      <c r="AB114" s="63"/>
      <c r="AC114" s="62" t="str">
        <f t="shared" si="2"/>
        <v>Flint</v>
      </c>
    </row>
    <row r="115">
      <c r="A115" s="62" t="str">
        <f>IFERROR(__xludf.DUMMYFUNCTION("iferror(SPLIT(Tracker!L116,CHAR(10)),"""")"),"10 Luminous Stone")</f>
        <v>10 Luminous Stone</v>
      </c>
      <c r="B115" s="62" t="str">
        <f>IFERROR(__xludf.DUMMYFUNCTION("""COMPUTED_VALUE"""),"1 Star Fragment")</f>
        <v>1 Star Fragment</v>
      </c>
      <c r="C115" s="62"/>
      <c r="D115" s="62"/>
      <c r="E115" s="63"/>
      <c r="F115" s="62" t="str">
        <f>IFERROR(__xludf.DUMMYFUNCTION("iferror(SPLIT(Tracker!N116,CHAR(10)),"""")"),"15 Luminous Stone")</f>
        <v>15 Luminous Stone</v>
      </c>
      <c r="G115" s="62" t="str">
        <f>IFERROR(__xludf.DUMMYFUNCTION("""COMPUTED_VALUE"""),"1 Star Fragment")</f>
        <v>1 Star Fragment</v>
      </c>
      <c r="H115" s="62"/>
      <c r="I115" s="62"/>
      <c r="J115" s="63"/>
      <c r="K115" s="62" t="str">
        <f>IFERROR(__xludf.DUMMYFUNCTION("iferror(SPLIT(Tracker!P116,CHAR(10)),"""")"),"20 Luminous Stone")</f>
        <v>20 Luminous Stone</v>
      </c>
      <c r="L115" s="62" t="str">
        <f>IFERROR(__xludf.DUMMYFUNCTION("""COMPUTED_VALUE"""),"1 Star Fragment")</f>
        <v>1 Star Fragment</v>
      </c>
      <c r="M115" s="62"/>
      <c r="N115" s="62"/>
      <c r="O115" s="63"/>
      <c r="P115" s="62" t="str">
        <f>IFERROR(__xludf.DUMMYFUNCTION("iferror(SPLIT(Tracker!R116,CHAR(10)),"""")"),"30 Luminous Stone")</f>
        <v>30 Luminous Stone</v>
      </c>
      <c r="Q115" s="62" t="str">
        <f>IFERROR(__xludf.DUMMYFUNCTION("""COMPUTED_VALUE"""),"1 Star Fragment")</f>
        <v>1 Star Fragment</v>
      </c>
      <c r="R115" s="62"/>
      <c r="S115" s="62"/>
      <c r="T115" s="63"/>
      <c r="U115" s="62" t="str">
        <f>IFERROR(__xludf.DUMMYFUNCTION("""COMPUTED_VALUE"""),"3 Moblin Horn")</f>
        <v>3 Moblin Horn</v>
      </c>
      <c r="V115" s="62">
        <f>IFERROR(__xludf.DUMMYFUNCTION("SPLIT(U115,"" "")"),3.0)</f>
        <v>3</v>
      </c>
      <c r="W115" s="62" t="str">
        <f>IFERROR(__xludf.DUMMYFUNCTION("""COMPUTED_VALUE"""),"Moblin")</f>
        <v>Moblin</v>
      </c>
      <c r="X115" s="62" t="str">
        <f>IFERROR(__xludf.DUMMYFUNCTION("""COMPUTED_VALUE"""),"Horn")</f>
        <v>Horn</v>
      </c>
      <c r="Y115" s="62"/>
      <c r="Z115" s="62"/>
      <c r="AA115" s="62"/>
      <c r="AB115" s="63"/>
      <c r="AC115" s="62" t="str">
        <f t="shared" si="2"/>
        <v>Moblin Horn</v>
      </c>
    </row>
    <row r="116">
      <c r="A116" s="62" t="str">
        <f>IFERROR(__xludf.DUMMYFUNCTION("iferror(SPLIT(Tracker!L117,CHAR(10)),"""")"),"10 Luminous Stone")</f>
        <v>10 Luminous Stone</v>
      </c>
      <c r="B116" s="62" t="str">
        <f>IFERROR(__xludf.DUMMYFUNCTION("""COMPUTED_VALUE"""),"1 Star Fragment")</f>
        <v>1 Star Fragment</v>
      </c>
      <c r="C116" s="62"/>
      <c r="D116" s="62"/>
      <c r="E116" s="63"/>
      <c r="F116" s="62" t="str">
        <f>IFERROR(__xludf.DUMMYFUNCTION("iferror(SPLIT(Tracker!N117,CHAR(10)),"""")"),"15 Luminous Stone")</f>
        <v>15 Luminous Stone</v>
      </c>
      <c r="G116" s="62" t="str">
        <f>IFERROR(__xludf.DUMMYFUNCTION("""COMPUTED_VALUE"""),"1 Star Fragment")</f>
        <v>1 Star Fragment</v>
      </c>
      <c r="H116" s="62"/>
      <c r="I116" s="62"/>
      <c r="J116" s="63"/>
      <c r="K116" s="62" t="str">
        <f>IFERROR(__xludf.DUMMYFUNCTION("iferror(SPLIT(Tracker!P117,CHAR(10)),"""")"),"20 Luminous Stone")</f>
        <v>20 Luminous Stone</v>
      </c>
      <c r="L116" s="62" t="str">
        <f>IFERROR(__xludf.DUMMYFUNCTION("""COMPUTED_VALUE"""),"1 Star Fragment")</f>
        <v>1 Star Fragment</v>
      </c>
      <c r="M116" s="62"/>
      <c r="N116" s="62"/>
      <c r="O116" s="63"/>
      <c r="P116" s="62" t="str">
        <f>IFERROR(__xludf.DUMMYFUNCTION("iferror(SPLIT(Tracker!R117,CHAR(10)),"""")"),"30 Luminous Stone")</f>
        <v>30 Luminous Stone</v>
      </c>
      <c r="Q116" s="62" t="str">
        <f>IFERROR(__xludf.DUMMYFUNCTION("""COMPUTED_VALUE"""),"1 Star Fragment")</f>
        <v>1 Star Fragment</v>
      </c>
      <c r="R116" s="62"/>
      <c r="S116" s="62"/>
      <c r="T116" s="63"/>
      <c r="U116" s="62" t="str">
        <f>IFERROR(__xludf.DUMMYFUNCTION("""COMPUTED_VALUE"""),"5 Moblin Fang")</f>
        <v>5 Moblin Fang</v>
      </c>
      <c r="V116" s="62">
        <f>IFERROR(__xludf.DUMMYFUNCTION("SPLIT(U116,"" "")"),5.0)</f>
        <v>5</v>
      </c>
      <c r="W116" s="62" t="str">
        <f>IFERROR(__xludf.DUMMYFUNCTION("""COMPUTED_VALUE"""),"Moblin")</f>
        <v>Moblin</v>
      </c>
      <c r="X116" s="62" t="str">
        <f>IFERROR(__xludf.DUMMYFUNCTION("""COMPUTED_VALUE"""),"Fang")</f>
        <v>Fang</v>
      </c>
      <c r="Y116" s="62"/>
      <c r="Z116" s="62"/>
      <c r="AA116" s="62"/>
      <c r="AB116" s="63"/>
      <c r="AC116" s="62" t="str">
        <f t="shared" si="2"/>
        <v>Moblin Fang</v>
      </c>
    </row>
    <row r="117">
      <c r="A117" s="62" t="str">
        <f>IFERROR(__xludf.DUMMYFUNCTION("iferror(SPLIT(Tracker!L118,CHAR(10)),"""")"),"10 Luminous Stone")</f>
        <v>10 Luminous Stone</v>
      </c>
      <c r="B117" s="62" t="str">
        <f>IFERROR(__xludf.DUMMYFUNCTION("""COMPUTED_VALUE"""),"1 Star Fragment")</f>
        <v>1 Star Fragment</v>
      </c>
      <c r="C117" s="62"/>
      <c r="D117" s="62"/>
      <c r="E117" s="63"/>
      <c r="F117" s="62" t="str">
        <f>IFERROR(__xludf.DUMMYFUNCTION("iferror(SPLIT(Tracker!N118,CHAR(10)),"""")"),"15 Luminous Stone")</f>
        <v>15 Luminous Stone</v>
      </c>
      <c r="G117" s="62" t="str">
        <f>IFERROR(__xludf.DUMMYFUNCTION("""COMPUTED_VALUE"""),"1 Star Fragment")</f>
        <v>1 Star Fragment</v>
      </c>
      <c r="H117" s="62"/>
      <c r="I117" s="62"/>
      <c r="J117" s="63"/>
      <c r="K117" s="62" t="str">
        <f>IFERROR(__xludf.DUMMYFUNCTION("iferror(SPLIT(Tracker!P118,CHAR(10)),"""")"),"20 Luminous Stone")</f>
        <v>20 Luminous Stone</v>
      </c>
      <c r="L117" s="62" t="str">
        <f>IFERROR(__xludf.DUMMYFUNCTION("""COMPUTED_VALUE"""),"1 Star Fragment")</f>
        <v>1 Star Fragment</v>
      </c>
      <c r="M117" s="62"/>
      <c r="N117" s="62"/>
      <c r="O117" s="63"/>
      <c r="P117" s="62" t="str">
        <f>IFERROR(__xludf.DUMMYFUNCTION("iferror(SPLIT(Tracker!R118,CHAR(10)),"""")"),"30 Luminous Stone")</f>
        <v>30 Luminous Stone</v>
      </c>
      <c r="Q117" s="62" t="str">
        <f>IFERROR(__xludf.DUMMYFUNCTION("""COMPUTED_VALUE"""),"1 Star Fragment")</f>
        <v>1 Star Fragment</v>
      </c>
      <c r="R117" s="62"/>
      <c r="S117" s="62"/>
      <c r="T117" s="63"/>
      <c r="U117" s="62" t="str">
        <f>IFERROR(__xludf.DUMMYFUNCTION("""COMPUTED_VALUE"""),"5 Fireproof Lizard")</f>
        <v>5 Fireproof Lizard</v>
      </c>
      <c r="V117" s="62">
        <f>IFERROR(__xludf.DUMMYFUNCTION("SPLIT(U117,"" "")"),5.0)</f>
        <v>5</v>
      </c>
      <c r="W117" s="62" t="str">
        <f>IFERROR(__xludf.DUMMYFUNCTION("""COMPUTED_VALUE"""),"Fireproof")</f>
        <v>Fireproof</v>
      </c>
      <c r="X117" s="62" t="str">
        <f>IFERROR(__xludf.DUMMYFUNCTION("""COMPUTED_VALUE"""),"Lizard")</f>
        <v>Lizard</v>
      </c>
      <c r="Y117" s="62"/>
      <c r="Z117" s="62"/>
      <c r="AA117" s="62"/>
      <c r="AB117" s="63"/>
      <c r="AC117" s="62" t="str">
        <f t="shared" si="2"/>
        <v>Fireproof Lizard</v>
      </c>
    </row>
    <row r="118">
      <c r="A118" s="62" t="str">
        <f>IFERROR(__xludf.DUMMYFUNCTION("iferror(SPLIT(Tracker!L119,CHAR(10)),"""")"),"10 Acorn")</f>
        <v>10 Acorn</v>
      </c>
      <c r="B118" s="62" t="str">
        <f>IFERROR(__xludf.DUMMYFUNCTION("""COMPUTED_VALUE"""),"2 Farosh's Scale")</f>
        <v>2 Farosh's Scale</v>
      </c>
      <c r="C118" s="62"/>
      <c r="D118" s="62"/>
      <c r="E118" s="63"/>
      <c r="F118" s="62" t="str">
        <f>IFERROR(__xludf.DUMMYFUNCTION("iferror(SPLIT(Tracker!N119,CHAR(10)),"""")"),"5 Courser Bee Honey")</f>
        <v>5 Courser Bee Honey</v>
      </c>
      <c r="G118" s="62" t="str">
        <f>IFERROR(__xludf.DUMMYFUNCTION("""COMPUTED_VALUE"""),"2 Farosh's Claw")</f>
        <v>2 Farosh's Claw</v>
      </c>
      <c r="H118" s="62"/>
      <c r="I118" s="62"/>
      <c r="J118" s="63"/>
      <c r="K118" s="62" t="str">
        <f>IFERROR(__xludf.DUMMYFUNCTION("iferror(SPLIT(Tracker!P119,CHAR(10)),"""")"),"3 Energetic Rhino Beetle")</f>
        <v>3 Energetic Rhino Beetle</v>
      </c>
      <c r="L118" s="62" t="str">
        <f>IFERROR(__xludf.DUMMYFUNCTION("""COMPUTED_VALUE"""),"2 Shard of Farosh's Fang")</f>
        <v>2 Shard of Farosh's Fang</v>
      </c>
      <c r="M118" s="62" t="str">
        <f>IFERROR(__xludf.DUMMYFUNCTION("""COMPUTED_VALUE"""),"5 Shard of Farosh's Spike")</f>
        <v>5 Shard of Farosh's Spike</v>
      </c>
      <c r="N118" s="62"/>
      <c r="O118" s="63"/>
      <c r="P118" s="62" t="str">
        <f>IFERROR(__xludf.DUMMYFUNCTION("iferror(SPLIT(Tracker!R119,CHAR(10)),"""")"),"3 Star Fragment")</f>
        <v>3 Star Fragment</v>
      </c>
      <c r="Q118" s="62" t="str">
        <f>IFERROR(__xludf.DUMMYFUNCTION("""COMPUTED_VALUE"""),"2 Farosh's Horn")</f>
        <v>2 Farosh's Horn</v>
      </c>
      <c r="R118" s="62" t="str">
        <f>IFERROR(__xludf.DUMMYFUNCTION("""COMPUTED_VALUE"""),"10 Shard of Farosh's Spike")</f>
        <v>10 Shard of Farosh's Spike</v>
      </c>
      <c r="S118" s="62"/>
      <c r="T118" s="63"/>
      <c r="U118" s="62" t="str">
        <f>IFERROR(__xludf.DUMMYFUNCTION("""COMPUTED_VALUE"""),"5 Blue Moblin Horn")</f>
        <v>5 Blue Moblin Horn</v>
      </c>
      <c r="V118" s="62">
        <f>IFERROR(__xludf.DUMMYFUNCTION("SPLIT(U118,"" "")"),5.0)</f>
        <v>5</v>
      </c>
      <c r="W118" s="62" t="str">
        <f>IFERROR(__xludf.DUMMYFUNCTION("""COMPUTED_VALUE"""),"Blue")</f>
        <v>Blue</v>
      </c>
      <c r="X118" s="62" t="str">
        <f>IFERROR(__xludf.DUMMYFUNCTION("""COMPUTED_VALUE"""),"Moblin")</f>
        <v>Moblin</v>
      </c>
      <c r="Y118" s="62" t="str">
        <f>IFERROR(__xludf.DUMMYFUNCTION("""COMPUTED_VALUE"""),"Horn")</f>
        <v>Horn</v>
      </c>
      <c r="Z118" s="62"/>
      <c r="AA118" s="62"/>
      <c r="AB118" s="63"/>
      <c r="AC118" s="62" t="str">
        <f t="shared" si="2"/>
        <v>Blue Moblin Horn</v>
      </c>
    </row>
    <row r="119">
      <c r="A119" s="62" t="str">
        <f>IFERROR(__xludf.DUMMYFUNCTION("iferror(SPLIT(Tracker!L120,CHAR(10)),"""")"),"10 Acorn")</f>
        <v>10 Acorn</v>
      </c>
      <c r="B119" s="62" t="str">
        <f>IFERROR(__xludf.DUMMYFUNCTION("""COMPUTED_VALUE"""),"2 Naydra's Scale")</f>
        <v>2 Naydra's Scale</v>
      </c>
      <c r="C119" s="62"/>
      <c r="D119" s="62"/>
      <c r="E119" s="63"/>
      <c r="F119" s="62" t="str">
        <f>IFERROR(__xludf.DUMMYFUNCTION("iferror(SPLIT(Tracker!N120,CHAR(10)),"""")"),"5 Courser Bee Honey")</f>
        <v>5 Courser Bee Honey</v>
      </c>
      <c r="G119" s="62" t="str">
        <f>IFERROR(__xludf.DUMMYFUNCTION("""COMPUTED_VALUE"""),"2 Naydra's Claw")</f>
        <v>2 Naydra's Claw</v>
      </c>
      <c r="H119" s="62"/>
      <c r="I119" s="62"/>
      <c r="J119" s="63"/>
      <c r="K119" s="62" t="str">
        <f>IFERROR(__xludf.DUMMYFUNCTION("iferror(SPLIT(Tracker!P120,CHAR(10)),"""")"),"3 Energetic Rhino Beetle")</f>
        <v>3 Energetic Rhino Beetle</v>
      </c>
      <c r="L119" s="62" t="str">
        <f>IFERROR(__xludf.DUMMYFUNCTION("""COMPUTED_VALUE"""),"2 Shard of Naydra's Fang")</f>
        <v>2 Shard of Naydra's Fang</v>
      </c>
      <c r="M119" s="62" t="str">
        <f>IFERROR(__xludf.DUMMYFUNCTION("""COMPUTED_VALUE"""),"5 Shard of Naydra's Spike")</f>
        <v>5 Shard of Naydra's Spike</v>
      </c>
      <c r="N119" s="62"/>
      <c r="O119" s="63"/>
      <c r="P119" s="62" t="str">
        <f>IFERROR(__xludf.DUMMYFUNCTION("iferror(SPLIT(Tracker!R120,CHAR(10)),"""")"),"3 Star Fragment")</f>
        <v>3 Star Fragment</v>
      </c>
      <c r="Q119" s="62" t="str">
        <f>IFERROR(__xludf.DUMMYFUNCTION("""COMPUTED_VALUE"""),"2 Naydra's Horn")</f>
        <v>2 Naydra's Horn</v>
      </c>
      <c r="R119" s="62" t="str">
        <f>IFERROR(__xludf.DUMMYFUNCTION("""COMPUTED_VALUE"""),"10 Shard of Naydra's Spike")</f>
        <v>10 Shard of Naydra's Spike</v>
      </c>
      <c r="S119" s="62"/>
      <c r="T119" s="63"/>
      <c r="U119" s="62" t="str">
        <f>IFERROR(__xludf.DUMMYFUNCTION("""COMPUTED_VALUE"""),"3 Smotherwing Butterfly")</f>
        <v>3 Smotherwing Butterfly</v>
      </c>
      <c r="V119" s="62">
        <f>IFERROR(__xludf.DUMMYFUNCTION("SPLIT(U119,"" "")"),3.0)</f>
        <v>3</v>
      </c>
      <c r="W119" s="62" t="str">
        <f>IFERROR(__xludf.DUMMYFUNCTION("""COMPUTED_VALUE"""),"Smotherwing")</f>
        <v>Smotherwing</v>
      </c>
      <c r="X119" s="62" t="str">
        <f>IFERROR(__xludf.DUMMYFUNCTION("""COMPUTED_VALUE"""),"Butterfly")</f>
        <v>Butterfly</v>
      </c>
      <c r="Y119" s="62"/>
      <c r="Z119" s="62"/>
      <c r="AA119" s="62"/>
      <c r="AB119" s="63"/>
      <c r="AC119" s="62" t="str">
        <f t="shared" si="2"/>
        <v>Smotherwing Butterfly</v>
      </c>
    </row>
    <row r="120">
      <c r="A120" s="62" t="str">
        <f>IFERROR(__xludf.DUMMYFUNCTION("iferror(SPLIT(Tracker!L121,CHAR(10)),"""")"),"10 Acorn")</f>
        <v>10 Acorn</v>
      </c>
      <c r="B120" s="62" t="str">
        <f>IFERROR(__xludf.DUMMYFUNCTION("""COMPUTED_VALUE"""),"2 Dinraal's Scale")</f>
        <v>2 Dinraal's Scale</v>
      </c>
      <c r="C120" s="62"/>
      <c r="D120" s="62"/>
      <c r="E120" s="63"/>
      <c r="F120" s="62" t="str">
        <f>IFERROR(__xludf.DUMMYFUNCTION("iferror(SPLIT(Tracker!N121,CHAR(10)),"""")"),"5 Courser Bee Honey")</f>
        <v>5 Courser Bee Honey</v>
      </c>
      <c r="G120" s="62" t="str">
        <f>IFERROR(__xludf.DUMMYFUNCTION("""COMPUTED_VALUE"""),"2 Dinraal's Claw")</f>
        <v>2 Dinraal's Claw</v>
      </c>
      <c r="H120" s="62"/>
      <c r="I120" s="62"/>
      <c r="J120" s="63"/>
      <c r="K120" s="62" t="str">
        <f>IFERROR(__xludf.DUMMYFUNCTION("iferror(SPLIT(Tracker!P121,CHAR(10)),"""")"),"3 Energetic Rhino Beetle")</f>
        <v>3 Energetic Rhino Beetle</v>
      </c>
      <c r="L120" s="62" t="str">
        <f>IFERROR(__xludf.DUMMYFUNCTION("""COMPUTED_VALUE"""),"2 Shard of Dinraal's Fang")</f>
        <v>2 Shard of Dinraal's Fang</v>
      </c>
      <c r="M120" s="62" t="str">
        <f>IFERROR(__xludf.DUMMYFUNCTION("""COMPUTED_VALUE"""),"5 Shard of Dinraal's Spike")</f>
        <v>5 Shard of Dinraal's Spike</v>
      </c>
      <c r="N120" s="62"/>
      <c r="O120" s="63"/>
      <c r="P120" s="62" t="str">
        <f>IFERROR(__xludf.DUMMYFUNCTION("iferror(SPLIT(Tracker!R121,CHAR(10)),"""")"),"3 Star Fragment")</f>
        <v>3 Star Fragment</v>
      </c>
      <c r="Q120" s="62" t="str">
        <f>IFERROR(__xludf.DUMMYFUNCTION("""COMPUTED_VALUE"""),"2 Dinraal's Horn")</f>
        <v>2 Dinraal's Horn</v>
      </c>
      <c r="R120" s="62" t="str">
        <f>IFERROR(__xludf.DUMMYFUNCTION("""COMPUTED_VALUE"""),"10 Shard of Dinraal's Spike")</f>
        <v>10 Shard of Dinraal's Spike</v>
      </c>
      <c r="S120" s="62"/>
      <c r="T120" s="63"/>
      <c r="U120" s="62" t="str">
        <f>IFERROR(__xludf.DUMMYFUNCTION("""COMPUTED_VALUE"""),"15 Flint")</f>
        <v>15 Flint</v>
      </c>
      <c r="V120" s="62">
        <f>IFERROR(__xludf.DUMMYFUNCTION("SPLIT(U120,"" "")"),15.0)</f>
        <v>15</v>
      </c>
      <c r="W120" s="62" t="str">
        <f>IFERROR(__xludf.DUMMYFUNCTION("""COMPUTED_VALUE"""),"Flint")</f>
        <v>Flint</v>
      </c>
      <c r="X120" s="62"/>
      <c r="Y120" s="62"/>
      <c r="Z120" s="62"/>
      <c r="AA120" s="62"/>
      <c r="AB120" s="63"/>
      <c r="AC120" s="62" t="str">
        <f t="shared" si="2"/>
        <v>Flint</v>
      </c>
    </row>
    <row r="121">
      <c r="A121" s="62" t="str">
        <f>IFERROR(__xludf.DUMMYFUNCTION("iferror(SPLIT(Tracker!L122,CHAR(10)),"""")"),"1 Ruby")</f>
        <v>1 Ruby</v>
      </c>
      <c r="B121" s="62" t="str">
        <f>IFERROR(__xludf.DUMMYFUNCTION("""COMPUTED_VALUE"""),"1 Star Fragment")</f>
        <v>1 Star Fragment</v>
      </c>
      <c r="C121" s="62"/>
      <c r="D121" s="62"/>
      <c r="E121" s="63"/>
      <c r="F121" s="62" t="str">
        <f>IFERROR(__xludf.DUMMYFUNCTION("iferror(SPLIT(Tracker!N122,CHAR(10)),"""")"),"4 Ruby")</f>
        <v>4 Ruby</v>
      </c>
      <c r="G121" s="62" t="str">
        <f>IFERROR(__xludf.DUMMYFUNCTION("""COMPUTED_VALUE"""),"1 Star Fragment")</f>
        <v>1 Star Fragment</v>
      </c>
      <c r="H121" s="62"/>
      <c r="I121" s="62"/>
      <c r="J121" s="63"/>
      <c r="K121" s="62" t="str">
        <f>IFERROR(__xludf.DUMMYFUNCTION("iferror(SPLIT(Tracker!P122,CHAR(10)),"""")"),"6 Ruby")</f>
        <v>6 Ruby</v>
      </c>
      <c r="L121" s="62" t="str">
        <f>IFERROR(__xludf.DUMMYFUNCTION("""COMPUTED_VALUE"""),"1 Star Fragment")</f>
        <v>1 Star Fragment</v>
      </c>
      <c r="M121" s="62"/>
      <c r="N121" s="62"/>
      <c r="O121" s="63"/>
      <c r="P121" s="62" t="str">
        <f>IFERROR(__xludf.DUMMYFUNCTION("iferror(SPLIT(Tracker!R122,CHAR(10)),"""")"),"10 Ruby")</f>
        <v>10 Ruby</v>
      </c>
      <c r="Q121" s="62" t="str">
        <f>IFERROR(__xludf.DUMMYFUNCTION("""COMPUTED_VALUE"""),"1 Star Fragment")</f>
        <v>1 Star Fragment</v>
      </c>
      <c r="R121" s="62"/>
      <c r="S121" s="62"/>
      <c r="T121" s="63"/>
      <c r="U121" s="62" t="str">
        <f>IFERROR(__xludf.DUMMYFUNCTION("""COMPUTED_VALUE"""),"5 Black Moblin Horn")</f>
        <v>5 Black Moblin Horn</v>
      </c>
      <c r="V121" s="62">
        <f>IFERROR(__xludf.DUMMYFUNCTION("SPLIT(U121,"" "")"),5.0)</f>
        <v>5</v>
      </c>
      <c r="W121" s="62" t="str">
        <f>IFERROR(__xludf.DUMMYFUNCTION("""COMPUTED_VALUE"""),"Black")</f>
        <v>Black</v>
      </c>
      <c r="X121" s="62" t="str">
        <f>IFERROR(__xludf.DUMMYFUNCTION("""COMPUTED_VALUE"""),"Moblin")</f>
        <v>Moblin</v>
      </c>
      <c r="Y121" s="62" t="str">
        <f>IFERROR(__xludf.DUMMYFUNCTION("""COMPUTED_VALUE"""),"Horn")</f>
        <v>Horn</v>
      </c>
      <c r="Z121" s="62"/>
      <c r="AA121" s="62"/>
      <c r="AB121" s="63"/>
      <c r="AC121" s="62" t="str">
        <f t="shared" si="2"/>
        <v>Black Moblin Horn</v>
      </c>
    </row>
    <row r="122">
      <c r="A122" s="62" t="str">
        <f>IFERROR(__xludf.DUMMYFUNCTION("iferror(SPLIT(Tracker!L123,CHAR(10)),"""")"),"1 Ruby")</f>
        <v>1 Ruby</v>
      </c>
      <c r="B122" s="62" t="str">
        <f>IFERROR(__xludf.DUMMYFUNCTION("""COMPUTED_VALUE"""),"1 Star Fragment")</f>
        <v>1 Star Fragment</v>
      </c>
      <c r="C122" s="62"/>
      <c r="D122" s="62"/>
      <c r="E122" s="63"/>
      <c r="F122" s="62" t="str">
        <f>IFERROR(__xludf.DUMMYFUNCTION("iferror(SPLIT(Tracker!N123,CHAR(10)),"""")"),"4 Ruby")</f>
        <v>4 Ruby</v>
      </c>
      <c r="G122" s="62" t="str">
        <f>IFERROR(__xludf.DUMMYFUNCTION("""COMPUTED_VALUE"""),"1 Star Fragment")</f>
        <v>1 Star Fragment</v>
      </c>
      <c r="H122" s="62"/>
      <c r="I122" s="62"/>
      <c r="J122" s="63"/>
      <c r="K122" s="62" t="str">
        <f>IFERROR(__xludf.DUMMYFUNCTION("iferror(SPLIT(Tracker!P123,CHAR(10)),"""")"),"6 Ruby")</f>
        <v>6 Ruby</v>
      </c>
      <c r="L122" s="62" t="str">
        <f>IFERROR(__xludf.DUMMYFUNCTION("""COMPUTED_VALUE"""),"1 Star Fragment")</f>
        <v>1 Star Fragment</v>
      </c>
      <c r="M122" s="62"/>
      <c r="N122" s="62"/>
      <c r="O122" s="63"/>
      <c r="P122" s="62" t="str">
        <f>IFERROR(__xludf.DUMMYFUNCTION("iferror(SPLIT(Tracker!R123,CHAR(10)),"""")"),"10 Ruby")</f>
        <v>10 Ruby</v>
      </c>
      <c r="Q122" s="62" t="str">
        <f>IFERROR(__xludf.DUMMYFUNCTION("""COMPUTED_VALUE"""),"1 Star Fragment")</f>
        <v>1 Star Fragment</v>
      </c>
      <c r="R122" s="62"/>
      <c r="S122" s="62"/>
      <c r="T122" s="63"/>
      <c r="U122" s="62" t="str">
        <f>IFERROR(__xludf.DUMMYFUNCTION("""COMPUTED_VALUE"""),"5 Smotherwing Butterfly")</f>
        <v>5 Smotherwing Butterfly</v>
      </c>
      <c r="V122" s="62">
        <f>IFERROR(__xludf.DUMMYFUNCTION("SPLIT(U122,"" "")"),5.0)</f>
        <v>5</v>
      </c>
      <c r="W122" s="62" t="str">
        <f>IFERROR(__xludf.DUMMYFUNCTION("""COMPUTED_VALUE"""),"Smotherwing")</f>
        <v>Smotherwing</v>
      </c>
      <c r="X122" s="62" t="str">
        <f>IFERROR(__xludf.DUMMYFUNCTION("""COMPUTED_VALUE"""),"Butterfly")</f>
        <v>Butterfly</v>
      </c>
      <c r="Y122" s="62"/>
      <c r="Z122" s="62"/>
      <c r="AA122" s="62"/>
      <c r="AB122" s="63"/>
      <c r="AC122" s="62" t="str">
        <f t="shared" si="2"/>
        <v>Smotherwing Butterfly</v>
      </c>
    </row>
    <row r="123">
      <c r="A123" s="62" t="str">
        <f>IFERROR(__xludf.DUMMYFUNCTION("iferror(SPLIT(Tracker!L124,CHAR(10)),"""")"),"1 Ruby")</f>
        <v>1 Ruby</v>
      </c>
      <c r="B123" s="62" t="str">
        <f>IFERROR(__xludf.DUMMYFUNCTION("""COMPUTED_VALUE"""),"1 Star Fragment")</f>
        <v>1 Star Fragment</v>
      </c>
      <c r="C123" s="62"/>
      <c r="D123" s="62"/>
      <c r="E123" s="63"/>
      <c r="F123" s="62" t="str">
        <f>IFERROR(__xludf.DUMMYFUNCTION("iferror(SPLIT(Tracker!N124,CHAR(10)),"""")"),"4 Ruby")</f>
        <v>4 Ruby</v>
      </c>
      <c r="G123" s="62" t="str">
        <f>IFERROR(__xludf.DUMMYFUNCTION("""COMPUTED_VALUE"""),"1 Star Fragment")</f>
        <v>1 Star Fragment</v>
      </c>
      <c r="H123" s="62"/>
      <c r="I123" s="62"/>
      <c r="J123" s="63"/>
      <c r="K123" s="62" t="str">
        <f>IFERROR(__xludf.DUMMYFUNCTION("iferror(SPLIT(Tracker!P124,CHAR(10)),"""")"),"6 Ruby")</f>
        <v>6 Ruby</v>
      </c>
      <c r="L123" s="62" t="str">
        <f>IFERROR(__xludf.DUMMYFUNCTION("""COMPUTED_VALUE"""),"1 Star Fragment")</f>
        <v>1 Star Fragment</v>
      </c>
      <c r="M123" s="62"/>
      <c r="N123" s="62"/>
      <c r="O123" s="63"/>
      <c r="P123" s="62" t="str">
        <f>IFERROR(__xludf.DUMMYFUNCTION("iferror(SPLIT(Tracker!R124,CHAR(10)),"""")"),"10 Ruby")</f>
        <v>10 Ruby</v>
      </c>
      <c r="Q123" s="62" t="str">
        <f>IFERROR(__xludf.DUMMYFUNCTION("""COMPUTED_VALUE"""),"1 Star Fragment")</f>
        <v>1 Star Fragment</v>
      </c>
      <c r="R123" s="62"/>
      <c r="S123" s="62"/>
      <c r="T123" s="63"/>
      <c r="U123" s="62" t="str">
        <f>IFERROR(__xludf.DUMMYFUNCTION("""COMPUTED_VALUE"""),"30 Flint")</f>
        <v>30 Flint</v>
      </c>
      <c r="V123" s="62">
        <f>IFERROR(__xludf.DUMMYFUNCTION("SPLIT(U123,"" "")"),30.0)</f>
        <v>30</v>
      </c>
      <c r="W123" s="62" t="str">
        <f>IFERROR(__xludf.DUMMYFUNCTION("""COMPUTED_VALUE"""),"Flint")</f>
        <v>Flint</v>
      </c>
      <c r="X123" s="62"/>
      <c r="Y123" s="62"/>
      <c r="Z123" s="62"/>
      <c r="AA123" s="62"/>
      <c r="AB123" s="63"/>
      <c r="AC123" s="62" t="str">
        <f t="shared" si="2"/>
        <v>Flint</v>
      </c>
    </row>
    <row r="124">
      <c r="A124" s="62" t="str">
        <f>IFERROR(__xludf.DUMMYFUNCTION("iferror(SPLIT(Tracker!L125,CHAR(10)),"""")"),"10 Amber")</f>
        <v>10 Amber</v>
      </c>
      <c r="B124" s="62" t="str">
        <f>IFERROR(__xludf.DUMMYFUNCTION("""COMPUTED_VALUE"""),"1 Star Fragment")</f>
        <v>1 Star Fragment</v>
      </c>
      <c r="C124" s="62"/>
      <c r="D124" s="62"/>
      <c r="E124" s="63"/>
      <c r="F124" s="62" t="str">
        <f>IFERROR(__xludf.DUMMYFUNCTION("iferror(SPLIT(Tracker!N125,CHAR(10)),"""")"),"20 Amber")</f>
        <v>20 Amber</v>
      </c>
      <c r="G124" s="62" t="str">
        <f>IFERROR(__xludf.DUMMYFUNCTION("""COMPUTED_VALUE"""),"1 Star Fragment")</f>
        <v>1 Star Fragment</v>
      </c>
      <c r="H124" s="62"/>
      <c r="I124" s="62"/>
      <c r="J124" s="63"/>
      <c r="K124" s="62" t="str">
        <f>IFERROR(__xludf.DUMMYFUNCTION("iferror(SPLIT(Tracker!P125,CHAR(10)),"""")"),"30 Amber")</f>
        <v>30 Amber</v>
      </c>
      <c r="L124" s="62" t="str">
        <f>IFERROR(__xludf.DUMMYFUNCTION("""COMPUTED_VALUE"""),"1 Star Fragment")</f>
        <v>1 Star Fragment</v>
      </c>
      <c r="M124" s="62"/>
      <c r="N124" s="62"/>
      <c r="O124" s="63"/>
      <c r="P124" s="62" t="str">
        <f>IFERROR(__xludf.DUMMYFUNCTION("iferror(SPLIT(Tracker!R125,CHAR(10)),"""")"),"40 Amber")</f>
        <v>40 Amber</v>
      </c>
      <c r="Q124" s="62" t="str">
        <f>IFERROR(__xludf.DUMMYFUNCTION("""COMPUTED_VALUE"""),"1 Star Fragment")</f>
        <v>1 Star Fragment</v>
      </c>
      <c r="R124" s="62"/>
      <c r="S124" s="62"/>
      <c r="T124" s="63"/>
      <c r="U124" s="62" t="str">
        <f>IFERROR(__xludf.DUMMYFUNCTION("""COMPUTED_VALUE"""),"3 Moblin Horn")</f>
        <v>3 Moblin Horn</v>
      </c>
      <c r="V124" s="62">
        <f>IFERROR(__xludf.DUMMYFUNCTION("SPLIT(U124,"" "")"),3.0)</f>
        <v>3</v>
      </c>
      <c r="W124" s="62" t="str">
        <f>IFERROR(__xludf.DUMMYFUNCTION("""COMPUTED_VALUE"""),"Moblin")</f>
        <v>Moblin</v>
      </c>
      <c r="X124" s="62" t="str">
        <f>IFERROR(__xludf.DUMMYFUNCTION("""COMPUTED_VALUE"""),"Horn")</f>
        <v>Horn</v>
      </c>
      <c r="Y124" s="62"/>
      <c r="Z124" s="62"/>
      <c r="AA124" s="62"/>
      <c r="AB124" s="63"/>
      <c r="AC124" s="62" t="str">
        <f t="shared" si="2"/>
        <v>Moblin Horn</v>
      </c>
    </row>
    <row r="125">
      <c r="A125" s="62" t="str">
        <f>IFERROR(__xludf.DUMMYFUNCTION("iferror(SPLIT(Tracker!L126,CHAR(10)),"""")"),"10 Amber")</f>
        <v>10 Amber</v>
      </c>
      <c r="B125" s="62" t="str">
        <f>IFERROR(__xludf.DUMMYFUNCTION("""COMPUTED_VALUE"""),"1 Star Fragment")</f>
        <v>1 Star Fragment</v>
      </c>
      <c r="C125" s="62"/>
      <c r="D125" s="62"/>
      <c r="E125" s="63"/>
      <c r="F125" s="62" t="str">
        <f>IFERROR(__xludf.DUMMYFUNCTION("iferror(SPLIT(Tracker!N126,CHAR(10)),"""")"),"20 Amber")</f>
        <v>20 Amber</v>
      </c>
      <c r="G125" s="62" t="str">
        <f>IFERROR(__xludf.DUMMYFUNCTION("""COMPUTED_VALUE"""),"1 Star Fragment")</f>
        <v>1 Star Fragment</v>
      </c>
      <c r="H125" s="62"/>
      <c r="I125" s="62"/>
      <c r="J125" s="63"/>
      <c r="K125" s="62" t="str">
        <f>IFERROR(__xludf.DUMMYFUNCTION("iferror(SPLIT(Tracker!P126,CHAR(10)),"""")"),"30 Amber")</f>
        <v>30 Amber</v>
      </c>
      <c r="L125" s="62" t="str">
        <f>IFERROR(__xludf.DUMMYFUNCTION("""COMPUTED_VALUE"""),"1 Star Fragment")</f>
        <v>1 Star Fragment</v>
      </c>
      <c r="M125" s="62"/>
      <c r="N125" s="62"/>
      <c r="O125" s="63"/>
      <c r="P125" s="62" t="str">
        <f>IFERROR(__xludf.DUMMYFUNCTION("iferror(SPLIT(Tracker!R126,CHAR(10)),"""")"),"40 Amber")</f>
        <v>40 Amber</v>
      </c>
      <c r="Q125" s="62" t="str">
        <f>IFERROR(__xludf.DUMMYFUNCTION("""COMPUTED_VALUE"""),"1 Star Fragment")</f>
        <v>1 Star Fragment</v>
      </c>
      <c r="R125" s="62"/>
      <c r="S125" s="62"/>
      <c r="T125" s="63"/>
      <c r="U125" s="62" t="str">
        <f>IFERROR(__xludf.DUMMYFUNCTION("""COMPUTED_VALUE"""),"5 Moblin Fang")</f>
        <v>5 Moblin Fang</v>
      </c>
      <c r="V125" s="62">
        <f>IFERROR(__xludf.DUMMYFUNCTION("SPLIT(U125,"" "")"),5.0)</f>
        <v>5</v>
      </c>
      <c r="W125" s="62" t="str">
        <f>IFERROR(__xludf.DUMMYFUNCTION("""COMPUTED_VALUE"""),"Moblin")</f>
        <v>Moblin</v>
      </c>
      <c r="X125" s="62" t="str">
        <f>IFERROR(__xludf.DUMMYFUNCTION("""COMPUTED_VALUE"""),"Fang")</f>
        <v>Fang</v>
      </c>
      <c r="Y125" s="62"/>
      <c r="Z125" s="62"/>
      <c r="AA125" s="62"/>
      <c r="AB125" s="63"/>
      <c r="AC125" s="62" t="str">
        <f t="shared" si="2"/>
        <v>Moblin Fang</v>
      </c>
    </row>
    <row r="126">
      <c r="A126" s="62" t="str">
        <f>IFERROR(__xludf.DUMMYFUNCTION("iferror(SPLIT(Tracker!L127,CHAR(10)),"""")"),"10 Amber")</f>
        <v>10 Amber</v>
      </c>
      <c r="B126" s="62" t="str">
        <f>IFERROR(__xludf.DUMMYFUNCTION("""COMPUTED_VALUE"""),"1 Star Fragment")</f>
        <v>1 Star Fragment</v>
      </c>
      <c r="C126" s="62"/>
      <c r="D126" s="62"/>
      <c r="E126" s="63"/>
      <c r="F126" s="62" t="str">
        <f>IFERROR(__xludf.DUMMYFUNCTION("iferror(SPLIT(Tracker!N127,CHAR(10)),"""")"),"20 Amber")</f>
        <v>20 Amber</v>
      </c>
      <c r="G126" s="62" t="str">
        <f>IFERROR(__xludf.DUMMYFUNCTION("""COMPUTED_VALUE"""),"1 Star Fragment")</f>
        <v>1 Star Fragment</v>
      </c>
      <c r="H126" s="62"/>
      <c r="I126" s="62"/>
      <c r="J126" s="63"/>
      <c r="K126" s="62" t="str">
        <f>IFERROR(__xludf.DUMMYFUNCTION("iferror(SPLIT(Tracker!P127,CHAR(10)),"""")"),"30 Amber")</f>
        <v>30 Amber</v>
      </c>
      <c r="L126" s="62" t="str">
        <f>IFERROR(__xludf.DUMMYFUNCTION("""COMPUTED_VALUE"""),"1 Star Fragment")</f>
        <v>1 Star Fragment</v>
      </c>
      <c r="M126" s="62"/>
      <c r="N126" s="62"/>
      <c r="O126" s="63"/>
      <c r="P126" s="62" t="str">
        <f>IFERROR(__xludf.DUMMYFUNCTION("iferror(SPLIT(Tracker!R127,CHAR(10)),"""")"),"40 Amber")</f>
        <v>40 Amber</v>
      </c>
      <c r="Q126" s="62" t="str">
        <f>IFERROR(__xludf.DUMMYFUNCTION("""COMPUTED_VALUE"""),"1 Star Fragment")</f>
        <v>1 Star Fragment</v>
      </c>
      <c r="R126" s="62"/>
      <c r="S126" s="62"/>
      <c r="T126" s="63"/>
      <c r="U126" s="62" t="str">
        <f>IFERROR(__xludf.DUMMYFUNCTION("""COMPUTED_VALUE"""),"5 Fireproof Lizard")</f>
        <v>5 Fireproof Lizard</v>
      </c>
      <c r="V126" s="62">
        <f>IFERROR(__xludf.DUMMYFUNCTION("SPLIT(U126,"" "")"),5.0)</f>
        <v>5</v>
      </c>
      <c r="W126" s="62" t="str">
        <f>IFERROR(__xludf.DUMMYFUNCTION("""COMPUTED_VALUE"""),"Fireproof")</f>
        <v>Fireproof</v>
      </c>
      <c r="X126" s="62" t="str">
        <f>IFERROR(__xludf.DUMMYFUNCTION("""COMPUTED_VALUE"""),"Lizard")</f>
        <v>Lizard</v>
      </c>
      <c r="Y126" s="62"/>
      <c r="Z126" s="62"/>
      <c r="AA126" s="62"/>
      <c r="AB126" s="63"/>
      <c r="AC126" s="62" t="str">
        <f t="shared" si="2"/>
        <v>Fireproof Lizard</v>
      </c>
    </row>
    <row r="127">
      <c r="A127" s="62" t="str">
        <f>IFERROR(__xludf.DUMMYFUNCTION("iferror(SPLIT(Tracker!L128,CHAR(10)),"""")"),"5 Opal")</f>
        <v>5 Opal</v>
      </c>
      <c r="B127" s="62" t="str">
        <f>IFERROR(__xludf.DUMMYFUNCTION("""COMPUTED_VALUE"""),"1 Star Fragment")</f>
        <v>1 Star Fragment</v>
      </c>
      <c r="C127" s="62"/>
      <c r="D127" s="62"/>
      <c r="E127" s="63"/>
      <c r="F127" s="62" t="str">
        <f>IFERROR(__xludf.DUMMYFUNCTION("iferror(SPLIT(Tracker!N128,CHAR(10)),"""")"),"10 Opal")</f>
        <v>10 Opal</v>
      </c>
      <c r="G127" s="62" t="str">
        <f>IFERROR(__xludf.DUMMYFUNCTION("""COMPUTED_VALUE"""),"1 Star Fragment")</f>
        <v>1 Star Fragment</v>
      </c>
      <c r="H127" s="62"/>
      <c r="I127" s="62"/>
      <c r="J127" s="63"/>
      <c r="K127" s="62" t="str">
        <f>IFERROR(__xludf.DUMMYFUNCTION("iferror(SPLIT(Tracker!P128,CHAR(10)),"""")"),"15 Opal")</f>
        <v>15 Opal</v>
      </c>
      <c r="L127" s="62" t="str">
        <f>IFERROR(__xludf.DUMMYFUNCTION("""COMPUTED_VALUE"""),"1 Star Fragment")</f>
        <v>1 Star Fragment</v>
      </c>
      <c r="M127" s="62"/>
      <c r="N127" s="62"/>
      <c r="O127" s="63"/>
      <c r="P127" s="62" t="str">
        <f>IFERROR(__xludf.DUMMYFUNCTION("iferror(SPLIT(Tracker!R128,CHAR(10)),"""")"),"25 Opal")</f>
        <v>25 Opal</v>
      </c>
      <c r="Q127" s="62" t="str">
        <f>IFERROR(__xludf.DUMMYFUNCTION("""COMPUTED_VALUE"""),"1 Star Fragment")</f>
        <v>1 Star Fragment</v>
      </c>
      <c r="R127" s="62"/>
      <c r="S127" s="62"/>
      <c r="T127" s="63"/>
      <c r="U127" s="62" t="str">
        <f>IFERROR(__xludf.DUMMYFUNCTION("""COMPUTED_VALUE"""),"5 Blue Moblin Horn")</f>
        <v>5 Blue Moblin Horn</v>
      </c>
      <c r="V127" s="62">
        <f>IFERROR(__xludf.DUMMYFUNCTION("SPLIT(U127,"" "")"),5.0)</f>
        <v>5</v>
      </c>
      <c r="W127" s="62" t="str">
        <f>IFERROR(__xludf.DUMMYFUNCTION("""COMPUTED_VALUE"""),"Blue")</f>
        <v>Blue</v>
      </c>
      <c r="X127" s="62" t="str">
        <f>IFERROR(__xludf.DUMMYFUNCTION("""COMPUTED_VALUE"""),"Moblin")</f>
        <v>Moblin</v>
      </c>
      <c r="Y127" s="62" t="str">
        <f>IFERROR(__xludf.DUMMYFUNCTION("""COMPUTED_VALUE"""),"Horn")</f>
        <v>Horn</v>
      </c>
      <c r="Z127" s="62"/>
      <c r="AA127" s="62"/>
      <c r="AB127" s="63"/>
      <c r="AC127" s="62" t="str">
        <f t="shared" si="2"/>
        <v>Blue Moblin Horn</v>
      </c>
    </row>
    <row r="128">
      <c r="A128" s="62" t="str">
        <f>IFERROR(__xludf.DUMMYFUNCTION("iferror(SPLIT(Tracker!L129,CHAR(10)),"""")"),"5 Opal")</f>
        <v>5 Opal</v>
      </c>
      <c r="B128" s="62" t="str">
        <f>IFERROR(__xludf.DUMMYFUNCTION("""COMPUTED_VALUE"""),"1 Star Fragment")</f>
        <v>1 Star Fragment</v>
      </c>
      <c r="C128" s="62"/>
      <c r="D128" s="62"/>
      <c r="E128" s="63"/>
      <c r="F128" s="62" t="str">
        <f>IFERROR(__xludf.DUMMYFUNCTION("iferror(SPLIT(Tracker!N129,CHAR(10)),"""")"),"10 Opal")</f>
        <v>10 Opal</v>
      </c>
      <c r="G128" s="62" t="str">
        <f>IFERROR(__xludf.DUMMYFUNCTION("""COMPUTED_VALUE"""),"1 Star Fragment")</f>
        <v>1 Star Fragment</v>
      </c>
      <c r="H128" s="62"/>
      <c r="I128" s="62"/>
      <c r="J128" s="63"/>
      <c r="K128" s="62" t="str">
        <f>IFERROR(__xludf.DUMMYFUNCTION("iferror(SPLIT(Tracker!P129,CHAR(10)),"""")"),"15 Opal")</f>
        <v>15 Opal</v>
      </c>
      <c r="L128" s="62" t="str">
        <f>IFERROR(__xludf.DUMMYFUNCTION("""COMPUTED_VALUE"""),"1 Star Fragment")</f>
        <v>1 Star Fragment</v>
      </c>
      <c r="M128" s="62"/>
      <c r="N128" s="62"/>
      <c r="O128" s="63"/>
      <c r="P128" s="62" t="str">
        <f>IFERROR(__xludf.DUMMYFUNCTION("iferror(SPLIT(Tracker!R129,CHAR(10)),"""")"),"25 Opal")</f>
        <v>25 Opal</v>
      </c>
      <c r="Q128" s="62" t="str">
        <f>IFERROR(__xludf.DUMMYFUNCTION("""COMPUTED_VALUE"""),"1 Star Fragment")</f>
        <v>1 Star Fragment</v>
      </c>
      <c r="R128" s="62"/>
      <c r="S128" s="62"/>
      <c r="T128" s="63"/>
      <c r="U128" s="62" t="str">
        <f>IFERROR(__xludf.DUMMYFUNCTION("""COMPUTED_VALUE"""),"3 Smotherwing Butterfly")</f>
        <v>3 Smotherwing Butterfly</v>
      </c>
      <c r="V128" s="62">
        <f>IFERROR(__xludf.DUMMYFUNCTION("SPLIT(U128,"" "")"),3.0)</f>
        <v>3</v>
      </c>
      <c r="W128" s="62" t="str">
        <f>IFERROR(__xludf.DUMMYFUNCTION("""COMPUTED_VALUE"""),"Smotherwing")</f>
        <v>Smotherwing</v>
      </c>
      <c r="X128" s="62" t="str">
        <f>IFERROR(__xludf.DUMMYFUNCTION("""COMPUTED_VALUE"""),"Butterfly")</f>
        <v>Butterfly</v>
      </c>
      <c r="Y128" s="62"/>
      <c r="Z128" s="62"/>
      <c r="AA128" s="62"/>
      <c r="AB128" s="63"/>
      <c r="AC128" s="62" t="str">
        <f t="shared" si="2"/>
        <v>Smotherwing Butterfly</v>
      </c>
    </row>
    <row r="129">
      <c r="A129" s="62" t="str">
        <f>IFERROR(__xludf.DUMMYFUNCTION("iferror(SPLIT(Tracker!L130,CHAR(10)),"""")"),"5 Opal")</f>
        <v>5 Opal</v>
      </c>
      <c r="B129" s="62" t="str">
        <f>IFERROR(__xludf.DUMMYFUNCTION("""COMPUTED_VALUE"""),"1 Star Fragment")</f>
        <v>1 Star Fragment</v>
      </c>
      <c r="C129" s="62"/>
      <c r="D129" s="62"/>
      <c r="E129" s="63"/>
      <c r="F129" s="62" t="str">
        <f>IFERROR(__xludf.DUMMYFUNCTION("iferror(SPLIT(Tracker!N130,CHAR(10)),"""")"),"10 Opal")</f>
        <v>10 Opal</v>
      </c>
      <c r="G129" s="62" t="str">
        <f>IFERROR(__xludf.DUMMYFUNCTION("""COMPUTED_VALUE"""),"1 Star Fragment")</f>
        <v>1 Star Fragment</v>
      </c>
      <c r="H129" s="62"/>
      <c r="I129" s="62"/>
      <c r="J129" s="63"/>
      <c r="K129" s="62" t="str">
        <f>IFERROR(__xludf.DUMMYFUNCTION("iferror(SPLIT(Tracker!P130,CHAR(10)),"""")"),"15 Opal")</f>
        <v>15 Opal</v>
      </c>
      <c r="L129" s="62" t="str">
        <f>IFERROR(__xludf.DUMMYFUNCTION("""COMPUTED_VALUE"""),"1 Star Fragment")</f>
        <v>1 Star Fragment</v>
      </c>
      <c r="M129" s="62"/>
      <c r="N129" s="62"/>
      <c r="O129" s="63"/>
      <c r="P129" s="62" t="str">
        <f>IFERROR(__xludf.DUMMYFUNCTION("iferror(SPLIT(Tracker!R130,CHAR(10)),"""")"),"25 Opal")</f>
        <v>25 Opal</v>
      </c>
      <c r="Q129" s="62" t="str">
        <f>IFERROR(__xludf.DUMMYFUNCTION("""COMPUTED_VALUE"""),"1 Star Fragment")</f>
        <v>1 Star Fragment</v>
      </c>
      <c r="R129" s="62"/>
      <c r="S129" s="62"/>
      <c r="T129" s="63"/>
      <c r="U129" s="62" t="str">
        <f>IFERROR(__xludf.DUMMYFUNCTION("""COMPUTED_VALUE"""),"15 Flint")</f>
        <v>15 Flint</v>
      </c>
      <c r="V129" s="62">
        <f>IFERROR(__xludf.DUMMYFUNCTION("SPLIT(U129,"" "")"),15.0)</f>
        <v>15</v>
      </c>
      <c r="W129" s="62" t="str">
        <f>IFERROR(__xludf.DUMMYFUNCTION("""COMPUTED_VALUE"""),"Flint")</f>
        <v>Flint</v>
      </c>
      <c r="X129" s="62"/>
      <c r="Y129" s="62"/>
      <c r="Z129" s="62"/>
      <c r="AA129" s="62"/>
      <c r="AB129" s="63"/>
      <c r="AC129" s="62" t="str">
        <f t="shared" si="2"/>
        <v>Flint</v>
      </c>
    </row>
    <row r="130">
      <c r="A130" s="62" t="str">
        <f>IFERROR(__xludf.DUMMYFUNCTION("iferror(SPLIT(Tracker!L131,CHAR(10)),"""")"),"1 Topaz")</f>
        <v>1 Topaz</v>
      </c>
      <c r="B130" s="62" t="str">
        <f>IFERROR(__xludf.DUMMYFUNCTION("""COMPUTED_VALUE"""),"1 Star Fragment")</f>
        <v>1 Star Fragment</v>
      </c>
      <c r="C130" s="62"/>
      <c r="D130" s="62"/>
      <c r="E130" s="63"/>
      <c r="F130" s="62" t="str">
        <f>IFERROR(__xludf.DUMMYFUNCTION("iferror(SPLIT(Tracker!N131,CHAR(10)),"""")"),"4 Topaz")</f>
        <v>4 Topaz</v>
      </c>
      <c r="G130" s="62" t="str">
        <f>IFERROR(__xludf.DUMMYFUNCTION("""COMPUTED_VALUE"""),"1 Star Fragment")</f>
        <v>1 Star Fragment</v>
      </c>
      <c r="H130" s="62"/>
      <c r="I130" s="62"/>
      <c r="J130" s="63"/>
      <c r="K130" s="62" t="str">
        <f>IFERROR(__xludf.DUMMYFUNCTION("iferror(SPLIT(Tracker!P131,CHAR(10)),"""")"),"6 Topaz")</f>
        <v>6 Topaz</v>
      </c>
      <c r="L130" s="62" t="str">
        <f>IFERROR(__xludf.DUMMYFUNCTION("""COMPUTED_VALUE"""),"1 Star Fragment")</f>
        <v>1 Star Fragment</v>
      </c>
      <c r="M130" s="62"/>
      <c r="N130" s="62"/>
      <c r="O130" s="63"/>
      <c r="P130" s="62" t="str">
        <f>IFERROR(__xludf.DUMMYFUNCTION("iferror(SPLIT(Tracker!R131,CHAR(10)),"""")"),"10 Topaz")</f>
        <v>10 Topaz</v>
      </c>
      <c r="Q130" s="62" t="str">
        <f>IFERROR(__xludf.DUMMYFUNCTION("""COMPUTED_VALUE"""),"1 Star Fragment")</f>
        <v>1 Star Fragment</v>
      </c>
      <c r="R130" s="62"/>
      <c r="S130" s="62"/>
      <c r="T130" s="63"/>
      <c r="U130" s="62" t="str">
        <f>IFERROR(__xludf.DUMMYFUNCTION("""COMPUTED_VALUE"""),"5 Black Moblin Horn")</f>
        <v>5 Black Moblin Horn</v>
      </c>
      <c r="V130" s="62">
        <f>IFERROR(__xludf.DUMMYFUNCTION("SPLIT(U130,"" "")"),5.0)</f>
        <v>5</v>
      </c>
      <c r="W130" s="62" t="str">
        <f>IFERROR(__xludf.DUMMYFUNCTION("""COMPUTED_VALUE"""),"Black")</f>
        <v>Black</v>
      </c>
      <c r="X130" s="62" t="str">
        <f>IFERROR(__xludf.DUMMYFUNCTION("""COMPUTED_VALUE"""),"Moblin")</f>
        <v>Moblin</v>
      </c>
      <c r="Y130" s="62" t="str">
        <f>IFERROR(__xludf.DUMMYFUNCTION("""COMPUTED_VALUE"""),"Horn")</f>
        <v>Horn</v>
      </c>
      <c r="Z130" s="62"/>
      <c r="AA130" s="62"/>
      <c r="AB130" s="63"/>
      <c r="AC130" s="62" t="str">
        <f t="shared" si="2"/>
        <v>Black Moblin Horn</v>
      </c>
    </row>
    <row r="131">
      <c r="A131" s="62" t="str">
        <f>IFERROR(__xludf.DUMMYFUNCTION("iferror(SPLIT(Tracker!L132,CHAR(10)),"""")"),"1 Topaz")</f>
        <v>1 Topaz</v>
      </c>
      <c r="B131" s="62" t="str">
        <f>IFERROR(__xludf.DUMMYFUNCTION("""COMPUTED_VALUE"""),"1 Star Fragment")</f>
        <v>1 Star Fragment</v>
      </c>
      <c r="C131" s="62"/>
      <c r="D131" s="62"/>
      <c r="E131" s="63"/>
      <c r="F131" s="62" t="str">
        <f>IFERROR(__xludf.DUMMYFUNCTION("iferror(SPLIT(Tracker!N132,CHAR(10)),"""")"),"4 Topaz")</f>
        <v>4 Topaz</v>
      </c>
      <c r="G131" s="62" t="str">
        <f>IFERROR(__xludf.DUMMYFUNCTION("""COMPUTED_VALUE"""),"1 Star Fragment")</f>
        <v>1 Star Fragment</v>
      </c>
      <c r="H131" s="62"/>
      <c r="I131" s="62"/>
      <c r="J131" s="63"/>
      <c r="K131" s="62" t="str">
        <f>IFERROR(__xludf.DUMMYFUNCTION("iferror(SPLIT(Tracker!P132,CHAR(10)),"""")"),"6 Topaz")</f>
        <v>6 Topaz</v>
      </c>
      <c r="L131" s="62" t="str">
        <f>IFERROR(__xludf.DUMMYFUNCTION("""COMPUTED_VALUE"""),"1 Star Fragment")</f>
        <v>1 Star Fragment</v>
      </c>
      <c r="M131" s="62"/>
      <c r="N131" s="62"/>
      <c r="O131" s="63"/>
      <c r="P131" s="62" t="str">
        <f>IFERROR(__xludf.DUMMYFUNCTION("iferror(SPLIT(Tracker!R132,CHAR(10)),"""")"),"10 Topaz")</f>
        <v>10 Topaz</v>
      </c>
      <c r="Q131" s="62" t="str">
        <f>IFERROR(__xludf.DUMMYFUNCTION("""COMPUTED_VALUE"""),"1 Star Fragment")</f>
        <v>1 Star Fragment</v>
      </c>
      <c r="R131" s="62"/>
      <c r="S131" s="62"/>
      <c r="T131" s="63"/>
      <c r="U131" s="62" t="str">
        <f>IFERROR(__xludf.DUMMYFUNCTION("""COMPUTED_VALUE"""),"5 Smotherwing Butterfly")</f>
        <v>5 Smotherwing Butterfly</v>
      </c>
      <c r="V131" s="62">
        <f>IFERROR(__xludf.DUMMYFUNCTION("SPLIT(U131,"" "")"),5.0)</f>
        <v>5</v>
      </c>
      <c r="W131" s="62" t="str">
        <f>IFERROR(__xludf.DUMMYFUNCTION("""COMPUTED_VALUE"""),"Smotherwing")</f>
        <v>Smotherwing</v>
      </c>
      <c r="X131" s="62" t="str">
        <f>IFERROR(__xludf.DUMMYFUNCTION("""COMPUTED_VALUE"""),"Butterfly")</f>
        <v>Butterfly</v>
      </c>
      <c r="Y131" s="62"/>
      <c r="Z131" s="62"/>
      <c r="AA131" s="62"/>
      <c r="AB131" s="63"/>
      <c r="AC131" s="62" t="str">
        <f t="shared" si="2"/>
        <v>Smotherwing Butterfly</v>
      </c>
    </row>
    <row r="132">
      <c r="A132" s="62" t="str">
        <f>IFERROR(__xludf.DUMMYFUNCTION("iferror(SPLIT(Tracker!L133,CHAR(10)),"""")"),"1 Topaz")</f>
        <v>1 Topaz</v>
      </c>
      <c r="B132" s="62" t="str">
        <f>IFERROR(__xludf.DUMMYFUNCTION("""COMPUTED_VALUE"""),"1 Star Fragment")</f>
        <v>1 Star Fragment</v>
      </c>
      <c r="C132" s="62"/>
      <c r="D132" s="62"/>
      <c r="E132" s="63"/>
      <c r="F132" s="62" t="str">
        <f>IFERROR(__xludf.DUMMYFUNCTION("iferror(SPLIT(Tracker!N133,CHAR(10)),"""")"),"4 Topaz")</f>
        <v>4 Topaz</v>
      </c>
      <c r="G132" s="62" t="str">
        <f>IFERROR(__xludf.DUMMYFUNCTION("""COMPUTED_VALUE"""),"1 Star Fragment")</f>
        <v>1 Star Fragment</v>
      </c>
      <c r="H132" s="62"/>
      <c r="I132" s="62"/>
      <c r="J132" s="63"/>
      <c r="K132" s="62" t="str">
        <f>IFERROR(__xludf.DUMMYFUNCTION("iferror(SPLIT(Tracker!P133,CHAR(10)),"""")"),"6 Topaz")</f>
        <v>6 Topaz</v>
      </c>
      <c r="L132" s="62" t="str">
        <f>IFERROR(__xludf.DUMMYFUNCTION("""COMPUTED_VALUE"""),"1 Star Fragment")</f>
        <v>1 Star Fragment</v>
      </c>
      <c r="M132" s="62"/>
      <c r="N132" s="62"/>
      <c r="O132" s="63"/>
      <c r="P132" s="62" t="str">
        <f>IFERROR(__xludf.DUMMYFUNCTION("iferror(SPLIT(Tracker!R133,CHAR(10)),"""")"),"10 Topaz")</f>
        <v>10 Topaz</v>
      </c>
      <c r="Q132" s="62" t="str">
        <f>IFERROR(__xludf.DUMMYFUNCTION("""COMPUTED_VALUE"""),"1 Star Fragment")</f>
        <v>1 Star Fragment</v>
      </c>
      <c r="R132" s="62"/>
      <c r="S132" s="62"/>
      <c r="T132" s="63"/>
      <c r="U132" s="62" t="str">
        <f>IFERROR(__xludf.DUMMYFUNCTION("""COMPUTED_VALUE"""),"30 Flint")</f>
        <v>30 Flint</v>
      </c>
      <c r="V132" s="62">
        <f>IFERROR(__xludf.DUMMYFUNCTION("SPLIT(U132,"" "")"),30.0)</f>
        <v>30</v>
      </c>
      <c r="W132" s="62" t="str">
        <f>IFERROR(__xludf.DUMMYFUNCTION("""COMPUTED_VALUE"""),"Flint")</f>
        <v>Flint</v>
      </c>
      <c r="X132" s="62"/>
      <c r="Y132" s="62"/>
      <c r="Z132" s="62"/>
      <c r="AA132" s="62"/>
      <c r="AB132" s="63"/>
      <c r="AC132" s="62" t="str">
        <f t="shared" si="2"/>
        <v>Flint</v>
      </c>
    </row>
    <row r="133">
      <c r="A133" s="62" t="str">
        <f>IFERROR(__xludf.DUMMYFUNCTION("iferror(SPLIT(Tracker!L134,CHAR(10)),"""")"),"1 Sapphire")</f>
        <v>1 Sapphire</v>
      </c>
      <c r="B133" s="62" t="str">
        <f>IFERROR(__xludf.DUMMYFUNCTION("""COMPUTED_VALUE"""),"1 Star Fragment")</f>
        <v>1 Star Fragment</v>
      </c>
      <c r="C133" s="62"/>
      <c r="D133" s="62"/>
      <c r="E133" s="63"/>
      <c r="F133" s="62" t="str">
        <f>IFERROR(__xludf.DUMMYFUNCTION("iferror(SPLIT(Tracker!N134,CHAR(10)),"""")"),"4 Sapphire")</f>
        <v>4 Sapphire</v>
      </c>
      <c r="G133" s="62" t="str">
        <f>IFERROR(__xludf.DUMMYFUNCTION("""COMPUTED_VALUE"""),"1 Star Fragment")</f>
        <v>1 Star Fragment</v>
      </c>
      <c r="H133" s="62"/>
      <c r="I133" s="62"/>
      <c r="J133" s="63"/>
      <c r="K133" s="62" t="str">
        <f>IFERROR(__xludf.DUMMYFUNCTION("iferror(SPLIT(Tracker!P134,CHAR(10)),"""")"),"6 Sapphire")</f>
        <v>6 Sapphire</v>
      </c>
      <c r="L133" s="62" t="str">
        <f>IFERROR(__xludf.DUMMYFUNCTION("""COMPUTED_VALUE"""),"1 Star Fragment")</f>
        <v>1 Star Fragment</v>
      </c>
      <c r="M133" s="62"/>
      <c r="N133" s="62"/>
      <c r="O133" s="63"/>
      <c r="P133" s="62" t="str">
        <f>IFERROR(__xludf.DUMMYFUNCTION("iferror(SPLIT(Tracker!R134,CHAR(10)),"""")"),"10 Sapphire")</f>
        <v>10 Sapphire</v>
      </c>
      <c r="Q133" s="62" t="str">
        <f>IFERROR(__xludf.DUMMYFUNCTION("""COMPUTED_VALUE"""),"1 Star Fragment")</f>
        <v>1 Star Fragment</v>
      </c>
      <c r="R133" s="62"/>
      <c r="S133" s="62"/>
      <c r="T133" s="63"/>
      <c r="U133" s="62" t="str">
        <f>IFERROR(__xludf.DUMMYFUNCTION("""COMPUTED_VALUE"""),"3 Lizalfos Horn")</f>
        <v>3 Lizalfos Horn</v>
      </c>
      <c r="V133" s="62">
        <f>IFERROR(__xludf.DUMMYFUNCTION("SPLIT(U133,"" "")"),3.0)</f>
        <v>3</v>
      </c>
      <c r="W133" s="62" t="str">
        <f>IFERROR(__xludf.DUMMYFUNCTION("""COMPUTED_VALUE"""),"Lizalfos")</f>
        <v>Lizalfos</v>
      </c>
      <c r="X133" s="62" t="str">
        <f>IFERROR(__xludf.DUMMYFUNCTION("""COMPUTED_VALUE"""),"Horn")</f>
        <v>Horn</v>
      </c>
      <c r="Y133" s="62"/>
      <c r="Z133" s="62"/>
      <c r="AA133" s="62"/>
      <c r="AB133" s="63"/>
      <c r="AC133" s="62" t="str">
        <f t="shared" si="2"/>
        <v>Lizalfos Horn</v>
      </c>
    </row>
    <row r="134">
      <c r="A134" s="62" t="str">
        <f>IFERROR(__xludf.DUMMYFUNCTION("iferror(SPLIT(Tracker!L135,CHAR(10)),"""")"),"1 Sapphire")</f>
        <v>1 Sapphire</v>
      </c>
      <c r="B134" s="62" t="str">
        <f>IFERROR(__xludf.DUMMYFUNCTION("""COMPUTED_VALUE"""),"1 Star Fragment")</f>
        <v>1 Star Fragment</v>
      </c>
      <c r="C134" s="62"/>
      <c r="D134" s="62"/>
      <c r="E134" s="63"/>
      <c r="F134" s="62" t="str">
        <f>IFERROR(__xludf.DUMMYFUNCTION("iferror(SPLIT(Tracker!N135,CHAR(10)),"""")"),"4 Sapphire")</f>
        <v>4 Sapphire</v>
      </c>
      <c r="G134" s="62" t="str">
        <f>IFERROR(__xludf.DUMMYFUNCTION("""COMPUTED_VALUE"""),"1 Star Fragment")</f>
        <v>1 Star Fragment</v>
      </c>
      <c r="H134" s="62"/>
      <c r="I134" s="62"/>
      <c r="J134" s="63"/>
      <c r="K134" s="62" t="str">
        <f>IFERROR(__xludf.DUMMYFUNCTION("iferror(SPLIT(Tracker!P135,CHAR(10)),"""")"),"6 Sapphire")</f>
        <v>6 Sapphire</v>
      </c>
      <c r="L134" s="62" t="str">
        <f>IFERROR(__xludf.DUMMYFUNCTION("""COMPUTED_VALUE"""),"1 Star Fragment")</f>
        <v>1 Star Fragment</v>
      </c>
      <c r="M134" s="62"/>
      <c r="N134" s="62"/>
      <c r="O134" s="63"/>
      <c r="P134" s="62" t="str">
        <f>IFERROR(__xludf.DUMMYFUNCTION("iferror(SPLIT(Tracker!R135,CHAR(10)),"""")"),"10 Sapphire")</f>
        <v>10 Sapphire</v>
      </c>
      <c r="Q134" s="62" t="str">
        <f>IFERROR(__xludf.DUMMYFUNCTION("""COMPUTED_VALUE"""),"1 Star Fragment")</f>
        <v>1 Star Fragment</v>
      </c>
      <c r="R134" s="62"/>
      <c r="S134" s="62"/>
      <c r="T134" s="63"/>
      <c r="U134" s="62" t="str">
        <f>IFERROR(__xludf.DUMMYFUNCTION("""COMPUTED_VALUE"""),"5 Lizalfos Talon")</f>
        <v>5 Lizalfos Talon</v>
      </c>
      <c r="V134" s="62">
        <f>IFERROR(__xludf.DUMMYFUNCTION("SPLIT(U134,"" "")"),5.0)</f>
        <v>5</v>
      </c>
      <c r="W134" s="62" t="str">
        <f>IFERROR(__xludf.DUMMYFUNCTION("""COMPUTED_VALUE"""),"Lizalfos")</f>
        <v>Lizalfos</v>
      </c>
      <c r="X134" s="62" t="str">
        <f>IFERROR(__xludf.DUMMYFUNCTION("""COMPUTED_VALUE"""),"Talon")</f>
        <v>Talon</v>
      </c>
      <c r="Y134" s="62"/>
      <c r="Z134" s="62"/>
      <c r="AA134" s="62"/>
      <c r="AB134" s="63"/>
      <c r="AC134" s="62" t="str">
        <f t="shared" si="2"/>
        <v>Lizalfos Talon</v>
      </c>
    </row>
    <row r="135">
      <c r="A135" s="62" t="str">
        <f>IFERROR(__xludf.DUMMYFUNCTION("iferror(SPLIT(Tracker!L136,CHAR(10)),"""")"),"1 Sapphire")</f>
        <v>1 Sapphire</v>
      </c>
      <c r="B135" s="62" t="str">
        <f>IFERROR(__xludf.DUMMYFUNCTION("""COMPUTED_VALUE"""),"1 Star Fragment")</f>
        <v>1 Star Fragment</v>
      </c>
      <c r="C135" s="62"/>
      <c r="D135" s="62"/>
      <c r="E135" s="63"/>
      <c r="F135" s="62" t="str">
        <f>IFERROR(__xludf.DUMMYFUNCTION("iferror(SPLIT(Tracker!N136,CHAR(10)),"""")"),"4 Sapphire")</f>
        <v>4 Sapphire</v>
      </c>
      <c r="G135" s="62" t="str">
        <f>IFERROR(__xludf.DUMMYFUNCTION("""COMPUTED_VALUE"""),"1 Star Fragment")</f>
        <v>1 Star Fragment</v>
      </c>
      <c r="H135" s="62"/>
      <c r="I135" s="62"/>
      <c r="J135" s="63"/>
      <c r="K135" s="62" t="str">
        <f>IFERROR(__xludf.DUMMYFUNCTION("iferror(SPLIT(Tracker!P136,CHAR(10)),"""")"),"6 Sapphire")</f>
        <v>6 Sapphire</v>
      </c>
      <c r="L135" s="62" t="str">
        <f>IFERROR(__xludf.DUMMYFUNCTION("""COMPUTED_VALUE"""),"1 Star Fragment")</f>
        <v>1 Star Fragment</v>
      </c>
      <c r="M135" s="62"/>
      <c r="N135" s="62"/>
      <c r="O135" s="63"/>
      <c r="P135" s="62" t="str">
        <f>IFERROR(__xludf.DUMMYFUNCTION("iferror(SPLIT(Tracker!R136,CHAR(10)),"""")"),"10 Sapphire")</f>
        <v>10 Sapphire</v>
      </c>
      <c r="Q135" s="62" t="str">
        <f>IFERROR(__xludf.DUMMYFUNCTION("""COMPUTED_VALUE"""),"1 Star Fragment")</f>
        <v>1 Star Fragment</v>
      </c>
      <c r="R135" s="62"/>
      <c r="S135" s="62"/>
      <c r="T135" s="63"/>
      <c r="U135" s="62" t="str">
        <f>IFERROR(__xludf.DUMMYFUNCTION("""COMPUTED_VALUE"""),"5 Hyrule Bass")</f>
        <v>5 Hyrule Bass</v>
      </c>
      <c r="V135" s="62">
        <f>IFERROR(__xludf.DUMMYFUNCTION("SPLIT(U135,"" "")"),5.0)</f>
        <v>5</v>
      </c>
      <c r="W135" s="62" t="str">
        <f>IFERROR(__xludf.DUMMYFUNCTION("""COMPUTED_VALUE"""),"Hyrule")</f>
        <v>Hyrule</v>
      </c>
      <c r="X135" s="62" t="str">
        <f>IFERROR(__xludf.DUMMYFUNCTION("""COMPUTED_VALUE"""),"Bass")</f>
        <v>Bass</v>
      </c>
      <c r="Y135" s="62"/>
      <c r="Z135" s="62"/>
      <c r="AA135" s="62"/>
      <c r="AB135" s="63"/>
      <c r="AC135" s="62" t="str">
        <f t="shared" si="2"/>
        <v>Hyrule Bass</v>
      </c>
    </row>
    <row r="136">
      <c r="A136" s="62" t="str">
        <f>IFERROR(__xludf.DUMMYFUNCTION("iferror(SPLIT(Tracker!L137,CHAR(10)),"""")"),"9 Silver Bokoblin Horn")</f>
        <v>9 Silver Bokoblin Horn</v>
      </c>
      <c r="B136" s="62" t="str">
        <f>IFERROR(__xludf.DUMMYFUNCTION("""COMPUTED_VALUE"""),"9 Hinox Guts")</f>
        <v>9 Hinox Guts</v>
      </c>
      <c r="C136" s="62" t="str">
        <f>IFERROR(__xludf.DUMMYFUNCTION("""COMPUTED_VALUE"""),"15 Zonaite")</f>
        <v>15 Zonaite</v>
      </c>
      <c r="D136" s="62" t="str">
        <f>IFERROR(__xludf.DUMMYFUNCTION("""COMPUTED_VALUE"""),"30 Rupee")</f>
        <v>30 Rupee</v>
      </c>
      <c r="E136" s="63"/>
      <c r="F136" s="62" t="str">
        <f>IFERROR(__xludf.DUMMYFUNCTION("iferror(SPLIT(Tracker!N137,CHAR(10)),"""")"),"9 Silver Moblin Horn")</f>
        <v>9 Silver Moblin Horn</v>
      </c>
      <c r="G136" s="62" t="str">
        <f>IFERROR(__xludf.DUMMYFUNCTION("""COMPUTED_VALUE"""),"9 Frox Guts")</f>
        <v>9 Frox Guts</v>
      </c>
      <c r="H136" s="62" t="str">
        <f>IFERROR(__xludf.DUMMYFUNCTION("""COMPUTED_VALUE"""),"10 Large Zonaite")</f>
        <v>10 Large Zonaite</v>
      </c>
      <c r="I136" s="62" t="str">
        <f>IFERROR(__xludf.DUMMYFUNCTION("""COMPUTED_VALUE"""),"150 Rupee")</f>
        <v>150 Rupee</v>
      </c>
      <c r="J136" s="63"/>
      <c r="K136" s="62" t="str">
        <f>IFERROR(__xludf.DUMMYFUNCTION("iferror(SPLIT(Tracker!P137,CHAR(10)),"""")"),"9 Silver Lizalfos Horn")</f>
        <v>9 Silver Lizalfos Horn</v>
      </c>
      <c r="L136" s="62" t="str">
        <f>IFERROR(__xludf.DUMMYFUNCTION("""COMPUTED_VALUE"""),"9 Molduga Guts")</f>
        <v>9 Molduga Guts</v>
      </c>
      <c r="M136" s="62" t="str">
        <f>IFERROR(__xludf.DUMMYFUNCTION("""COMPUTED_VALUE"""),"15 Large Zonaite")</f>
        <v>15 Large Zonaite</v>
      </c>
      <c r="N136" s="62" t="str">
        <f>IFERROR(__xludf.DUMMYFUNCTION("""COMPUTED_VALUE"""),"600 Rupee")</f>
        <v>600 Rupee</v>
      </c>
      <c r="O136" s="63"/>
      <c r="P136" s="62" t="str">
        <f>IFERROR(__xludf.DUMMYFUNCTION("iferror(SPLIT(Tracker!R137,CHAR(10)),"""")"),"9 Silver Lynel Saber Horn")</f>
        <v>9 Silver Lynel Saber Horn</v>
      </c>
      <c r="Q136" s="62" t="str">
        <f>IFERROR(__xludf.DUMMYFUNCTION("""COMPUTED_VALUE"""),"9 Silver Lynel Mace Horn")</f>
        <v>9 Silver Lynel Mace Horn</v>
      </c>
      <c r="R136" s="62" t="str">
        <f>IFERROR(__xludf.DUMMYFUNCTION("""COMPUTED_VALUE"""),"9 Gleeok Guts")</f>
        <v>9 Gleeok Guts</v>
      </c>
      <c r="S136" s="62" t="str">
        <f>IFERROR(__xludf.DUMMYFUNCTION("""COMPUTED_VALUE"""),"1500 Rupee")</f>
        <v>1500 Rupee</v>
      </c>
      <c r="T136" s="63"/>
      <c r="U136" s="62" t="str">
        <f>IFERROR(__xludf.DUMMYFUNCTION("""COMPUTED_VALUE"""),"5 Blue Lizalfos Horn")</f>
        <v>5 Blue Lizalfos Horn</v>
      </c>
      <c r="V136" s="62">
        <f>IFERROR(__xludf.DUMMYFUNCTION("SPLIT(U136,"" "")"),5.0)</f>
        <v>5</v>
      </c>
      <c r="W136" s="62" t="str">
        <f>IFERROR(__xludf.DUMMYFUNCTION("""COMPUTED_VALUE"""),"Blue")</f>
        <v>Blue</v>
      </c>
      <c r="X136" s="62" t="str">
        <f>IFERROR(__xludf.DUMMYFUNCTION("""COMPUTED_VALUE"""),"Lizalfos")</f>
        <v>Lizalfos</v>
      </c>
      <c r="Y136" s="62" t="str">
        <f>IFERROR(__xludf.DUMMYFUNCTION("""COMPUTED_VALUE"""),"Horn")</f>
        <v>Horn</v>
      </c>
      <c r="Z136" s="62"/>
      <c r="AA136" s="62"/>
      <c r="AB136" s="63"/>
      <c r="AC136" s="62" t="str">
        <f t="shared" si="2"/>
        <v>Blue Lizalfos Horn</v>
      </c>
    </row>
    <row r="137">
      <c r="A137" s="62" t="str">
        <f>IFERROR(__xludf.DUMMYFUNCTION("iferror(SPLIT(Tracker!L138,CHAR(10)),"""")"),"")</f>
        <v/>
      </c>
      <c r="B137" s="62"/>
      <c r="C137" s="62"/>
      <c r="D137" s="62"/>
      <c r="E137" s="63"/>
      <c r="F137" s="62" t="str">
        <f>IFERROR(__xludf.DUMMYFUNCTION("iferror(SPLIT(Tracker!N138,CHAR(10)),"""")"),"")</f>
        <v/>
      </c>
      <c r="G137" s="62"/>
      <c r="H137" s="62"/>
      <c r="I137" s="62"/>
      <c r="J137" s="63"/>
      <c r="K137" s="62" t="str">
        <f>IFERROR(__xludf.DUMMYFUNCTION("iferror(SPLIT(Tracker!P138,CHAR(10)),"""")"),"")</f>
        <v/>
      </c>
      <c r="L137" s="62"/>
      <c r="M137" s="62"/>
      <c r="N137" s="62"/>
      <c r="O137" s="63"/>
      <c r="P137" s="62" t="str">
        <f>IFERROR(__xludf.DUMMYFUNCTION("iferror(SPLIT(Tracker!R138,CHAR(10)),"""")"),"")</f>
        <v/>
      </c>
      <c r="Q137" s="62"/>
      <c r="R137" s="62"/>
      <c r="S137" s="62"/>
      <c r="T137" s="63"/>
      <c r="U137" s="62" t="str">
        <f>IFERROR(__xludf.DUMMYFUNCTION("""COMPUTED_VALUE"""),"3 Lizalfos Tail")</f>
        <v>3 Lizalfos Tail</v>
      </c>
      <c r="V137" s="62">
        <f>IFERROR(__xludf.DUMMYFUNCTION("SPLIT(U137,"" "")"),3.0)</f>
        <v>3</v>
      </c>
      <c r="W137" s="62" t="str">
        <f>IFERROR(__xludf.DUMMYFUNCTION("""COMPUTED_VALUE"""),"Lizalfos")</f>
        <v>Lizalfos</v>
      </c>
      <c r="X137" s="62" t="str">
        <f>IFERROR(__xludf.DUMMYFUNCTION("""COMPUTED_VALUE"""),"Tail")</f>
        <v>Tail</v>
      </c>
      <c r="Y137" s="62"/>
      <c r="Z137" s="62"/>
      <c r="AA137" s="62"/>
      <c r="AB137" s="63"/>
      <c r="AC137" s="62" t="str">
        <f t="shared" si="2"/>
        <v>Lizalfos Tail</v>
      </c>
    </row>
    <row r="138">
      <c r="A138" s="62" t="str">
        <f>IFERROR(__xludf.DUMMYFUNCTION("iferror(SPLIT(Tracker!L139,CHAR(10)),"""")"),"")</f>
        <v/>
      </c>
      <c r="B138" s="62"/>
      <c r="C138" s="62"/>
      <c r="D138" s="62"/>
      <c r="E138" s="63"/>
      <c r="F138" s="62" t="str">
        <f>IFERROR(__xludf.DUMMYFUNCTION("iferror(SPLIT(Tracker!N139,CHAR(10)),"""")"),"")</f>
        <v/>
      </c>
      <c r="G138" s="62"/>
      <c r="H138" s="62"/>
      <c r="I138" s="62"/>
      <c r="J138" s="63"/>
      <c r="K138" s="62" t="str">
        <f>IFERROR(__xludf.DUMMYFUNCTION("iferror(SPLIT(Tracker!P139,CHAR(10)),"""")"),"")</f>
        <v/>
      </c>
      <c r="L138" s="62"/>
      <c r="M138" s="62"/>
      <c r="N138" s="62"/>
      <c r="O138" s="63"/>
      <c r="P138" s="62" t="str">
        <f>IFERROR(__xludf.DUMMYFUNCTION("iferror(SPLIT(Tracker!R139,CHAR(10)),"""")"),"")</f>
        <v/>
      </c>
      <c r="Q138" s="62"/>
      <c r="R138" s="62"/>
      <c r="S138" s="62"/>
      <c r="T138" s="63"/>
      <c r="U138" s="62" t="str">
        <f>IFERROR(__xludf.DUMMYFUNCTION("""COMPUTED_VALUE"""),"3 Hearty Bass")</f>
        <v>3 Hearty Bass</v>
      </c>
      <c r="V138" s="62">
        <f>IFERROR(__xludf.DUMMYFUNCTION("SPLIT(U138,"" "")"),3.0)</f>
        <v>3</v>
      </c>
      <c r="W138" s="62" t="str">
        <f>IFERROR(__xludf.DUMMYFUNCTION("""COMPUTED_VALUE"""),"Hearty")</f>
        <v>Hearty</v>
      </c>
      <c r="X138" s="62" t="str">
        <f>IFERROR(__xludf.DUMMYFUNCTION("""COMPUTED_VALUE"""),"Bass")</f>
        <v>Bass</v>
      </c>
      <c r="Y138" s="62"/>
      <c r="Z138" s="62"/>
      <c r="AA138" s="62"/>
      <c r="AB138" s="63"/>
      <c r="AC138" s="62" t="str">
        <f t="shared" si="2"/>
        <v>Hearty Bass</v>
      </c>
    </row>
    <row r="139">
      <c r="A139" s="62" t="str">
        <f>IFERROR(__xludf.DUMMYFUNCTION("iferror(SPLIT(Tracker!L140,CHAR(10)),"""")"),"")</f>
        <v/>
      </c>
      <c r="B139" s="62"/>
      <c r="C139" s="62"/>
      <c r="D139" s="62"/>
      <c r="E139" s="63"/>
      <c r="F139" s="62" t="str">
        <f>IFERROR(__xludf.DUMMYFUNCTION("iferror(SPLIT(Tracker!N140,CHAR(10)),"""")"),"")</f>
        <v/>
      </c>
      <c r="G139" s="62"/>
      <c r="H139" s="62"/>
      <c r="I139" s="62"/>
      <c r="J139" s="63"/>
      <c r="K139" s="62" t="str">
        <f>IFERROR(__xludf.DUMMYFUNCTION("iferror(SPLIT(Tracker!P140,CHAR(10)),"""")"),"")</f>
        <v/>
      </c>
      <c r="L139" s="62"/>
      <c r="M139" s="62"/>
      <c r="N139" s="62"/>
      <c r="O139" s="63"/>
      <c r="P139" s="62" t="str">
        <f>IFERROR(__xludf.DUMMYFUNCTION("iferror(SPLIT(Tracker!R140,CHAR(10)),"""")"),"")</f>
        <v/>
      </c>
      <c r="Q139" s="62"/>
      <c r="R139" s="62"/>
      <c r="S139" s="62"/>
      <c r="T139" s="63"/>
      <c r="U139" s="62" t="str">
        <f>IFERROR(__xludf.DUMMYFUNCTION("""COMPUTED_VALUE"""),"5 Black Lizalfos Horn")</f>
        <v>5 Black Lizalfos Horn</v>
      </c>
      <c r="V139" s="62">
        <f>IFERROR(__xludf.DUMMYFUNCTION("SPLIT(U139,"" "")"),5.0)</f>
        <v>5</v>
      </c>
      <c r="W139" s="62" t="str">
        <f>IFERROR(__xludf.DUMMYFUNCTION("""COMPUTED_VALUE"""),"Black")</f>
        <v>Black</v>
      </c>
      <c r="X139" s="62" t="str">
        <f>IFERROR(__xludf.DUMMYFUNCTION("""COMPUTED_VALUE"""),"Lizalfos")</f>
        <v>Lizalfos</v>
      </c>
      <c r="Y139" s="62" t="str">
        <f>IFERROR(__xludf.DUMMYFUNCTION("""COMPUTED_VALUE"""),"Horn")</f>
        <v>Horn</v>
      </c>
      <c r="Z139" s="62"/>
      <c r="AA139" s="62"/>
      <c r="AB139" s="63"/>
      <c r="AC139" s="62" t="str">
        <f t="shared" si="2"/>
        <v>Black Lizalfos Horn</v>
      </c>
    </row>
    <row r="140">
      <c r="A140" s="62" t="str">
        <f>IFERROR(__xludf.DUMMYFUNCTION("iferror(SPLIT(Tracker!L141,CHAR(10)),"""")"),"")</f>
        <v/>
      </c>
      <c r="B140" s="62"/>
      <c r="C140" s="62"/>
      <c r="D140" s="62"/>
      <c r="E140" s="63"/>
      <c r="F140" s="62" t="str">
        <f>IFERROR(__xludf.DUMMYFUNCTION("iferror(SPLIT(Tracker!N141,CHAR(10)),"""")"),"")</f>
        <v/>
      </c>
      <c r="G140" s="62"/>
      <c r="H140" s="62"/>
      <c r="I140" s="62"/>
      <c r="J140" s="63"/>
      <c r="K140" s="62" t="str">
        <f>IFERROR(__xludf.DUMMYFUNCTION("iferror(SPLIT(Tracker!P141,CHAR(10)),"""")"),"")</f>
        <v/>
      </c>
      <c r="L140" s="62"/>
      <c r="M140" s="62"/>
      <c r="N140" s="62"/>
      <c r="O140" s="63"/>
      <c r="P140" s="62" t="str">
        <f>IFERROR(__xludf.DUMMYFUNCTION("iferror(SPLIT(Tracker!R141,CHAR(10)),"""")"),"")</f>
        <v/>
      </c>
      <c r="Q140" s="62"/>
      <c r="R140" s="62"/>
      <c r="S140" s="62"/>
      <c r="T140" s="63"/>
      <c r="U140" s="62" t="str">
        <f>IFERROR(__xludf.DUMMYFUNCTION("""COMPUTED_VALUE"""),"5 Blue Lizalfos Tail")</f>
        <v>5 Blue Lizalfos Tail</v>
      </c>
      <c r="V140" s="62">
        <f>IFERROR(__xludf.DUMMYFUNCTION("SPLIT(U140,"" "")"),5.0)</f>
        <v>5</v>
      </c>
      <c r="W140" s="62" t="str">
        <f>IFERROR(__xludf.DUMMYFUNCTION("""COMPUTED_VALUE"""),"Blue")</f>
        <v>Blue</v>
      </c>
      <c r="X140" s="62" t="str">
        <f>IFERROR(__xludf.DUMMYFUNCTION("""COMPUTED_VALUE"""),"Lizalfos")</f>
        <v>Lizalfos</v>
      </c>
      <c r="Y140" s="62" t="str">
        <f>IFERROR(__xludf.DUMMYFUNCTION("""COMPUTED_VALUE"""),"Tail")</f>
        <v>Tail</v>
      </c>
      <c r="Z140" s="62"/>
      <c r="AA140" s="62"/>
      <c r="AB140" s="63"/>
      <c r="AC140" s="62" t="str">
        <f t="shared" si="2"/>
        <v>Blue Lizalfos Tail</v>
      </c>
    </row>
    <row r="141">
      <c r="A141" s="62" t="str">
        <f>IFERROR(__xludf.DUMMYFUNCTION("iferror(SPLIT(Tracker!L142,CHAR(10)),"""")"),"")</f>
        <v/>
      </c>
      <c r="B141" s="62"/>
      <c r="C141" s="62"/>
      <c r="D141" s="62"/>
      <c r="E141" s="63"/>
      <c r="F141" s="62" t="str">
        <f>IFERROR(__xludf.DUMMYFUNCTION("iferror(SPLIT(Tracker!N142,CHAR(10)),"""")"),"")</f>
        <v/>
      </c>
      <c r="G141" s="62"/>
      <c r="H141" s="62"/>
      <c r="I141" s="62"/>
      <c r="J141" s="63"/>
      <c r="K141" s="62" t="str">
        <f>IFERROR(__xludf.DUMMYFUNCTION("iferror(SPLIT(Tracker!P142,CHAR(10)),"""")"),"")</f>
        <v/>
      </c>
      <c r="L141" s="62"/>
      <c r="M141" s="62"/>
      <c r="N141" s="62"/>
      <c r="O141" s="63"/>
      <c r="P141" s="62" t="str">
        <f>IFERROR(__xludf.DUMMYFUNCTION("iferror(SPLIT(Tracker!R142,CHAR(10)),"""")"),"")</f>
        <v/>
      </c>
      <c r="Q141" s="62"/>
      <c r="R141" s="62"/>
      <c r="S141" s="62"/>
      <c r="T141" s="63"/>
      <c r="U141" s="62" t="str">
        <f>IFERROR(__xludf.DUMMYFUNCTION("""COMPUTED_VALUE"""),"20 Opal")</f>
        <v>20 Opal</v>
      </c>
      <c r="V141" s="62">
        <f>IFERROR(__xludf.DUMMYFUNCTION("SPLIT(U141,"" "")"),20.0)</f>
        <v>20</v>
      </c>
      <c r="W141" s="62" t="str">
        <f>IFERROR(__xludf.DUMMYFUNCTION("""COMPUTED_VALUE"""),"Opal")</f>
        <v>Opal</v>
      </c>
      <c r="X141" s="62"/>
      <c r="Y141" s="62"/>
      <c r="Z141" s="62"/>
      <c r="AA141" s="62"/>
      <c r="AB141" s="63"/>
      <c r="AC141" s="62" t="str">
        <f t="shared" si="2"/>
        <v>Opal</v>
      </c>
    </row>
    <row r="142">
      <c r="A142" s="62" t="str">
        <f>IFERROR(__xludf.DUMMYFUNCTION("iferror(SPLIT(Tracker!L143,CHAR(10)),"""")"),"")</f>
        <v/>
      </c>
      <c r="B142" s="62"/>
      <c r="C142" s="62"/>
      <c r="D142" s="62"/>
      <c r="E142" s="63"/>
      <c r="F142" s="62" t="str">
        <f>IFERROR(__xludf.DUMMYFUNCTION("iferror(SPLIT(Tracker!N143,CHAR(10)),"""")"),"")</f>
        <v/>
      </c>
      <c r="G142" s="62"/>
      <c r="H142" s="62"/>
      <c r="I142" s="62"/>
      <c r="J142" s="63"/>
      <c r="K142" s="62" t="str">
        <f>IFERROR(__xludf.DUMMYFUNCTION("iferror(SPLIT(Tracker!P143,CHAR(10)),"""")"),"")</f>
        <v/>
      </c>
      <c r="L142" s="62"/>
      <c r="M142" s="62"/>
      <c r="N142" s="62"/>
      <c r="O142" s="63"/>
      <c r="P142" s="62" t="str">
        <f>IFERROR(__xludf.DUMMYFUNCTION("iferror(SPLIT(Tracker!R143,CHAR(10)),"""")"),"")</f>
        <v/>
      </c>
      <c r="Q142" s="62"/>
      <c r="R142" s="62"/>
      <c r="S142" s="62"/>
      <c r="T142" s="63"/>
      <c r="U142" s="62" t="str">
        <f>IFERROR(__xludf.DUMMYFUNCTION("""COMPUTED_VALUE"""),"3 Lizalfos Horn")</f>
        <v>3 Lizalfos Horn</v>
      </c>
      <c r="V142" s="62">
        <f>IFERROR(__xludf.DUMMYFUNCTION("SPLIT(U142,"" "")"),3.0)</f>
        <v>3</v>
      </c>
      <c r="W142" s="62" t="str">
        <f>IFERROR(__xludf.DUMMYFUNCTION("""COMPUTED_VALUE"""),"Lizalfos")</f>
        <v>Lizalfos</v>
      </c>
      <c r="X142" s="62" t="str">
        <f>IFERROR(__xludf.DUMMYFUNCTION("""COMPUTED_VALUE"""),"Horn")</f>
        <v>Horn</v>
      </c>
      <c r="Y142" s="62"/>
      <c r="Z142" s="62"/>
      <c r="AA142" s="62"/>
      <c r="AB142" s="63"/>
      <c r="AC142" s="62" t="str">
        <f t="shared" si="2"/>
        <v>Lizalfos Horn</v>
      </c>
    </row>
    <row r="143">
      <c r="A143" s="62" t="str">
        <f>IFERROR(__xludf.DUMMYFUNCTION("iferror(SPLIT(Tracker!L144,CHAR(10)),"""")"),"")</f>
        <v/>
      </c>
      <c r="B143" s="62"/>
      <c r="C143" s="62"/>
      <c r="D143" s="62"/>
      <c r="E143" s="63"/>
      <c r="F143" s="62" t="str">
        <f>IFERROR(__xludf.DUMMYFUNCTION("iferror(SPLIT(Tracker!N144,CHAR(10)),"""")"),"")</f>
        <v/>
      </c>
      <c r="G143" s="62"/>
      <c r="H143" s="62"/>
      <c r="I143" s="62"/>
      <c r="J143" s="63"/>
      <c r="K143" s="62" t="str">
        <f>IFERROR(__xludf.DUMMYFUNCTION("iferror(SPLIT(Tracker!P144,CHAR(10)),"""")"),"")</f>
        <v/>
      </c>
      <c r="L143" s="62"/>
      <c r="M143" s="62"/>
      <c r="N143" s="62"/>
      <c r="O143" s="63"/>
      <c r="P143" s="62" t="str">
        <f>IFERROR(__xludf.DUMMYFUNCTION("iferror(SPLIT(Tracker!R144,CHAR(10)),"""")"),"")</f>
        <v/>
      </c>
      <c r="Q143" s="62"/>
      <c r="R143" s="62"/>
      <c r="S143" s="62"/>
      <c r="T143" s="63"/>
      <c r="U143" s="62" t="str">
        <f>IFERROR(__xludf.DUMMYFUNCTION("""COMPUTED_VALUE"""),"5 Lizalfos Talon")</f>
        <v>5 Lizalfos Talon</v>
      </c>
      <c r="V143" s="62">
        <f>IFERROR(__xludf.DUMMYFUNCTION("SPLIT(U143,"" "")"),5.0)</f>
        <v>5</v>
      </c>
      <c r="W143" s="62" t="str">
        <f>IFERROR(__xludf.DUMMYFUNCTION("""COMPUTED_VALUE"""),"Lizalfos")</f>
        <v>Lizalfos</v>
      </c>
      <c r="X143" s="62" t="str">
        <f>IFERROR(__xludf.DUMMYFUNCTION("""COMPUTED_VALUE"""),"Talon")</f>
        <v>Talon</v>
      </c>
      <c r="Y143" s="62"/>
      <c r="Z143" s="62"/>
      <c r="AA143" s="62"/>
      <c r="AB143" s="63"/>
      <c r="AC143" s="62" t="str">
        <f t="shared" si="2"/>
        <v>Lizalfos Talon</v>
      </c>
    </row>
    <row r="144">
      <c r="A144" s="62" t="str">
        <f>IFERROR(__xludf.DUMMYFUNCTION("iferror(SPLIT(Tracker!L145,CHAR(10)),"""")"),"")</f>
        <v/>
      </c>
      <c r="B144" s="62"/>
      <c r="C144" s="62"/>
      <c r="D144" s="62"/>
      <c r="E144" s="63"/>
      <c r="F144" s="62" t="str">
        <f>IFERROR(__xludf.DUMMYFUNCTION("iferror(SPLIT(Tracker!N145,CHAR(10)),"""")"),"")</f>
        <v/>
      </c>
      <c r="G144" s="62"/>
      <c r="H144" s="62"/>
      <c r="I144" s="62"/>
      <c r="J144" s="63"/>
      <c r="K144" s="62" t="str">
        <f>IFERROR(__xludf.DUMMYFUNCTION("iferror(SPLIT(Tracker!P145,CHAR(10)),"""")"),"")</f>
        <v/>
      </c>
      <c r="L144" s="62"/>
      <c r="M144" s="62"/>
      <c r="N144" s="62"/>
      <c r="O144" s="63"/>
      <c r="P144" s="62" t="str">
        <f>IFERROR(__xludf.DUMMYFUNCTION("iferror(SPLIT(Tracker!R145,CHAR(10)),"""")"),"")</f>
        <v/>
      </c>
      <c r="Q144" s="62"/>
      <c r="R144" s="62"/>
      <c r="S144" s="62"/>
      <c r="T144" s="63"/>
      <c r="U144" s="62" t="str">
        <f>IFERROR(__xludf.DUMMYFUNCTION("""COMPUTED_VALUE"""),"5 Hyrule Bass")</f>
        <v>5 Hyrule Bass</v>
      </c>
      <c r="V144" s="62">
        <f>IFERROR(__xludf.DUMMYFUNCTION("SPLIT(U144,"" "")"),5.0)</f>
        <v>5</v>
      </c>
      <c r="W144" s="62" t="str">
        <f>IFERROR(__xludf.DUMMYFUNCTION("""COMPUTED_VALUE"""),"Hyrule")</f>
        <v>Hyrule</v>
      </c>
      <c r="X144" s="62" t="str">
        <f>IFERROR(__xludf.DUMMYFUNCTION("""COMPUTED_VALUE"""),"Bass")</f>
        <v>Bass</v>
      </c>
      <c r="Y144" s="62"/>
      <c r="Z144" s="62"/>
      <c r="AA144" s="62"/>
      <c r="AB144" s="63"/>
      <c r="AC144" s="62" t="str">
        <f t="shared" si="2"/>
        <v>Hyrule Bass</v>
      </c>
    </row>
    <row r="145">
      <c r="A145" s="62" t="str">
        <f>IFERROR(__xludf.DUMMYFUNCTION("iferror(SPLIT(Tracker!L146,CHAR(10)),"""")"),"")</f>
        <v/>
      </c>
      <c r="B145" s="62"/>
      <c r="C145" s="62"/>
      <c r="D145" s="62"/>
      <c r="E145" s="63"/>
      <c r="F145" s="62" t="str">
        <f>IFERROR(__xludf.DUMMYFUNCTION("iferror(SPLIT(Tracker!N146,CHAR(10)),"""")"),"")</f>
        <v/>
      </c>
      <c r="G145" s="62"/>
      <c r="H145" s="62"/>
      <c r="I145" s="62"/>
      <c r="J145" s="63"/>
      <c r="K145" s="62" t="str">
        <f>IFERROR(__xludf.DUMMYFUNCTION("iferror(SPLIT(Tracker!P146,CHAR(10)),"""")"),"")</f>
        <v/>
      </c>
      <c r="L145" s="62"/>
      <c r="M145" s="62"/>
      <c r="N145" s="62"/>
      <c r="O145" s="63"/>
      <c r="P145" s="62" t="str">
        <f>IFERROR(__xludf.DUMMYFUNCTION("iferror(SPLIT(Tracker!R146,CHAR(10)),"""")"),"")</f>
        <v/>
      </c>
      <c r="Q145" s="62"/>
      <c r="R145" s="62"/>
      <c r="S145" s="62"/>
      <c r="T145" s="63"/>
      <c r="U145" s="62" t="str">
        <f>IFERROR(__xludf.DUMMYFUNCTION("""COMPUTED_VALUE"""),"5 Blue Lizalfos Horn")</f>
        <v>5 Blue Lizalfos Horn</v>
      </c>
      <c r="V145" s="62">
        <f>IFERROR(__xludf.DUMMYFUNCTION("SPLIT(U145,"" "")"),5.0)</f>
        <v>5</v>
      </c>
      <c r="W145" s="62" t="str">
        <f>IFERROR(__xludf.DUMMYFUNCTION("""COMPUTED_VALUE"""),"Blue")</f>
        <v>Blue</v>
      </c>
      <c r="X145" s="62" t="str">
        <f>IFERROR(__xludf.DUMMYFUNCTION("""COMPUTED_VALUE"""),"Lizalfos")</f>
        <v>Lizalfos</v>
      </c>
      <c r="Y145" s="62" t="str">
        <f>IFERROR(__xludf.DUMMYFUNCTION("""COMPUTED_VALUE"""),"Horn")</f>
        <v>Horn</v>
      </c>
      <c r="Z145" s="62"/>
      <c r="AA145" s="62"/>
      <c r="AB145" s="63"/>
      <c r="AC145" s="62" t="str">
        <f t="shared" si="2"/>
        <v>Blue Lizalfos Horn</v>
      </c>
    </row>
    <row r="146">
      <c r="A146" s="62" t="str">
        <f>IFERROR(__xludf.DUMMYFUNCTION("iferror(SPLIT(Tracker!L147,CHAR(10)),"""")"),"")</f>
        <v/>
      </c>
      <c r="B146" s="62"/>
      <c r="C146" s="62"/>
      <c r="D146" s="62"/>
      <c r="E146" s="63"/>
      <c r="F146" s="62" t="str">
        <f>IFERROR(__xludf.DUMMYFUNCTION("iferror(SPLIT(Tracker!N147,CHAR(10)),"""")"),"")</f>
        <v/>
      </c>
      <c r="G146" s="62"/>
      <c r="H146" s="62"/>
      <c r="I146" s="62"/>
      <c r="J146" s="63"/>
      <c r="K146" s="62" t="str">
        <f>IFERROR(__xludf.DUMMYFUNCTION("iferror(SPLIT(Tracker!P147,CHAR(10)),"""")"),"")</f>
        <v/>
      </c>
      <c r="L146" s="62"/>
      <c r="M146" s="62"/>
      <c r="N146" s="62"/>
      <c r="O146" s="63"/>
      <c r="P146" s="62" t="str">
        <f>IFERROR(__xludf.DUMMYFUNCTION("iferror(SPLIT(Tracker!R147,CHAR(10)),"""")"),"")</f>
        <v/>
      </c>
      <c r="Q146" s="62"/>
      <c r="R146" s="62"/>
      <c r="S146" s="62"/>
      <c r="T146" s="63"/>
      <c r="U146" s="62" t="str">
        <f>IFERROR(__xludf.DUMMYFUNCTION("""COMPUTED_VALUE"""),"3 Lizalfos Tail")</f>
        <v>3 Lizalfos Tail</v>
      </c>
      <c r="V146" s="62">
        <f>IFERROR(__xludf.DUMMYFUNCTION("SPLIT(U146,"" "")"),3.0)</f>
        <v>3</v>
      </c>
      <c r="W146" s="62" t="str">
        <f>IFERROR(__xludf.DUMMYFUNCTION("""COMPUTED_VALUE"""),"Lizalfos")</f>
        <v>Lizalfos</v>
      </c>
      <c r="X146" s="62" t="str">
        <f>IFERROR(__xludf.DUMMYFUNCTION("""COMPUTED_VALUE"""),"Tail")</f>
        <v>Tail</v>
      </c>
      <c r="Y146" s="62"/>
      <c r="Z146" s="62"/>
      <c r="AA146" s="62"/>
      <c r="AB146" s="63"/>
      <c r="AC146" s="62" t="str">
        <f t="shared" si="2"/>
        <v>Lizalfos Tail</v>
      </c>
    </row>
    <row r="147">
      <c r="A147" s="62" t="str">
        <f>IFERROR(__xludf.DUMMYFUNCTION("iferror(SPLIT(Tracker!L148,CHAR(10)),"""")"),"")</f>
        <v/>
      </c>
      <c r="B147" s="62"/>
      <c r="C147" s="62"/>
      <c r="D147" s="62"/>
      <c r="E147" s="63"/>
      <c r="F147" s="62" t="str">
        <f>IFERROR(__xludf.DUMMYFUNCTION("iferror(SPLIT(Tracker!N148,CHAR(10)),"""")"),"")</f>
        <v/>
      </c>
      <c r="G147" s="62"/>
      <c r="H147" s="62"/>
      <c r="I147" s="62"/>
      <c r="J147" s="63"/>
      <c r="K147" s="62" t="str">
        <f>IFERROR(__xludf.DUMMYFUNCTION("iferror(SPLIT(Tracker!P148,CHAR(10)),"""")"),"")</f>
        <v/>
      </c>
      <c r="L147" s="62"/>
      <c r="M147" s="62"/>
      <c r="N147" s="62"/>
      <c r="O147" s="63"/>
      <c r="P147" s="62" t="str">
        <f>IFERROR(__xludf.DUMMYFUNCTION("iferror(SPLIT(Tracker!R148,CHAR(10)),"""")"),"")</f>
        <v/>
      </c>
      <c r="Q147" s="62"/>
      <c r="R147" s="62"/>
      <c r="S147" s="62"/>
      <c r="T147" s="63"/>
      <c r="U147" s="62" t="str">
        <f>IFERROR(__xludf.DUMMYFUNCTION("""COMPUTED_VALUE"""),"3 Hearty Bass")</f>
        <v>3 Hearty Bass</v>
      </c>
      <c r="V147" s="62">
        <f>IFERROR(__xludf.DUMMYFUNCTION("SPLIT(U147,"" "")"),3.0)</f>
        <v>3</v>
      </c>
      <c r="W147" s="62" t="str">
        <f>IFERROR(__xludf.DUMMYFUNCTION("""COMPUTED_VALUE"""),"Hearty")</f>
        <v>Hearty</v>
      </c>
      <c r="X147" s="62" t="str">
        <f>IFERROR(__xludf.DUMMYFUNCTION("""COMPUTED_VALUE"""),"Bass")</f>
        <v>Bass</v>
      </c>
      <c r="Y147" s="62"/>
      <c r="Z147" s="62"/>
      <c r="AA147" s="62"/>
      <c r="AB147" s="63"/>
      <c r="AC147" s="62" t="str">
        <f t="shared" si="2"/>
        <v>Hearty Bass</v>
      </c>
    </row>
    <row r="148">
      <c r="A148" s="62" t="str">
        <f>IFERROR(__xludf.DUMMYFUNCTION("iferror(SPLIT(Tracker!L149,CHAR(10)),"""")"),"")</f>
        <v/>
      </c>
      <c r="B148" s="62"/>
      <c r="C148" s="62"/>
      <c r="D148" s="62"/>
      <c r="E148" s="63"/>
      <c r="F148" s="62" t="str">
        <f>IFERROR(__xludf.DUMMYFUNCTION("iferror(SPLIT(Tracker!N149,CHAR(10)),"""")"),"")</f>
        <v/>
      </c>
      <c r="G148" s="62"/>
      <c r="H148" s="62"/>
      <c r="I148" s="62"/>
      <c r="J148" s="63"/>
      <c r="K148" s="62" t="str">
        <f>IFERROR(__xludf.DUMMYFUNCTION("iferror(SPLIT(Tracker!P149,CHAR(10)),"""")"),"")</f>
        <v/>
      </c>
      <c r="L148" s="62"/>
      <c r="M148" s="62"/>
      <c r="N148" s="62"/>
      <c r="O148" s="63"/>
      <c r="P148" s="62" t="str">
        <f>IFERROR(__xludf.DUMMYFUNCTION("iferror(SPLIT(Tracker!R149,CHAR(10)),"""")"),"")</f>
        <v/>
      </c>
      <c r="Q148" s="62"/>
      <c r="R148" s="62"/>
      <c r="S148" s="62"/>
      <c r="T148" s="63"/>
      <c r="U148" s="62" t="str">
        <f>IFERROR(__xludf.DUMMYFUNCTION("""COMPUTED_VALUE"""),"5 Black Lizalfos Horn")</f>
        <v>5 Black Lizalfos Horn</v>
      </c>
      <c r="V148" s="62">
        <f>IFERROR(__xludf.DUMMYFUNCTION("SPLIT(U148,"" "")"),5.0)</f>
        <v>5</v>
      </c>
      <c r="W148" s="62" t="str">
        <f>IFERROR(__xludf.DUMMYFUNCTION("""COMPUTED_VALUE"""),"Black")</f>
        <v>Black</v>
      </c>
      <c r="X148" s="62" t="str">
        <f>IFERROR(__xludf.DUMMYFUNCTION("""COMPUTED_VALUE"""),"Lizalfos")</f>
        <v>Lizalfos</v>
      </c>
      <c r="Y148" s="62" t="str">
        <f>IFERROR(__xludf.DUMMYFUNCTION("""COMPUTED_VALUE"""),"Horn")</f>
        <v>Horn</v>
      </c>
      <c r="Z148" s="62"/>
      <c r="AA148" s="62"/>
      <c r="AB148" s="63"/>
      <c r="AC148" s="62" t="str">
        <f t="shared" si="2"/>
        <v>Black Lizalfos Horn</v>
      </c>
    </row>
    <row r="149">
      <c r="A149" s="62" t="str">
        <f>IFERROR(__xludf.DUMMYFUNCTION("iferror(SPLIT(Tracker!L150,CHAR(10)),"""")"),"")</f>
        <v/>
      </c>
      <c r="B149" s="62"/>
      <c r="C149" s="62"/>
      <c r="D149" s="62"/>
      <c r="E149" s="63"/>
      <c r="F149" s="62" t="str">
        <f>IFERROR(__xludf.DUMMYFUNCTION("iferror(SPLIT(Tracker!N150,CHAR(10)),"""")"),"")</f>
        <v/>
      </c>
      <c r="G149" s="62"/>
      <c r="H149" s="62"/>
      <c r="I149" s="62"/>
      <c r="J149" s="63"/>
      <c r="K149" s="62" t="str">
        <f>IFERROR(__xludf.DUMMYFUNCTION("iferror(SPLIT(Tracker!P150,CHAR(10)),"""")"),"")</f>
        <v/>
      </c>
      <c r="L149" s="62"/>
      <c r="M149" s="62"/>
      <c r="N149" s="62"/>
      <c r="O149" s="63"/>
      <c r="P149" s="62" t="str">
        <f>IFERROR(__xludf.DUMMYFUNCTION("iferror(SPLIT(Tracker!R150,CHAR(10)),"""")"),"")</f>
        <v/>
      </c>
      <c r="Q149" s="62"/>
      <c r="R149" s="62"/>
      <c r="S149" s="62"/>
      <c r="T149" s="63"/>
      <c r="U149" s="62" t="str">
        <f>IFERROR(__xludf.DUMMYFUNCTION("""COMPUTED_VALUE"""),"5 Blue Lizalfos Tail")</f>
        <v>5 Blue Lizalfos Tail</v>
      </c>
      <c r="V149" s="62">
        <f>IFERROR(__xludf.DUMMYFUNCTION("SPLIT(U149,"" "")"),5.0)</f>
        <v>5</v>
      </c>
      <c r="W149" s="62" t="str">
        <f>IFERROR(__xludf.DUMMYFUNCTION("""COMPUTED_VALUE"""),"Blue")</f>
        <v>Blue</v>
      </c>
      <c r="X149" s="62" t="str">
        <f>IFERROR(__xludf.DUMMYFUNCTION("""COMPUTED_VALUE"""),"Lizalfos")</f>
        <v>Lizalfos</v>
      </c>
      <c r="Y149" s="62" t="str">
        <f>IFERROR(__xludf.DUMMYFUNCTION("""COMPUTED_VALUE"""),"Tail")</f>
        <v>Tail</v>
      </c>
      <c r="Z149" s="62"/>
      <c r="AA149" s="62"/>
      <c r="AB149" s="63"/>
      <c r="AC149" s="62" t="str">
        <f t="shared" si="2"/>
        <v>Blue Lizalfos Tail</v>
      </c>
    </row>
    <row r="150">
      <c r="A150" s="62" t="str">
        <f>IFERROR(__xludf.DUMMYFUNCTION("iferror(SPLIT(Tracker!L151,CHAR(10)),"""")"),"")</f>
        <v/>
      </c>
      <c r="B150" s="62"/>
      <c r="C150" s="62"/>
      <c r="D150" s="62"/>
      <c r="E150" s="63"/>
      <c r="F150" s="62" t="str">
        <f>IFERROR(__xludf.DUMMYFUNCTION("iferror(SPLIT(Tracker!N151,CHAR(10)),"""")"),"")</f>
        <v/>
      </c>
      <c r="G150" s="62"/>
      <c r="H150" s="62"/>
      <c r="I150" s="62"/>
      <c r="J150" s="63"/>
      <c r="K150" s="62" t="str">
        <f>IFERROR(__xludf.DUMMYFUNCTION("iferror(SPLIT(Tracker!P151,CHAR(10)),"""")"),"")</f>
        <v/>
      </c>
      <c r="L150" s="62"/>
      <c r="M150" s="62"/>
      <c r="N150" s="62"/>
      <c r="O150" s="63"/>
      <c r="P150" s="62" t="str">
        <f>IFERROR(__xludf.DUMMYFUNCTION("iferror(SPLIT(Tracker!R151,CHAR(10)),"""")"),"")</f>
        <v/>
      </c>
      <c r="Q150" s="62"/>
      <c r="R150" s="62"/>
      <c r="S150" s="62"/>
      <c r="T150" s="63"/>
      <c r="U150" s="62" t="str">
        <f>IFERROR(__xludf.DUMMYFUNCTION("""COMPUTED_VALUE"""),"20 Opal")</f>
        <v>20 Opal</v>
      </c>
      <c r="V150" s="62">
        <f>IFERROR(__xludf.DUMMYFUNCTION("SPLIT(U150,"" "")"),20.0)</f>
        <v>20</v>
      </c>
      <c r="W150" s="62" t="str">
        <f>IFERROR(__xludf.DUMMYFUNCTION("""COMPUTED_VALUE"""),"Opal")</f>
        <v>Opal</v>
      </c>
      <c r="X150" s="62"/>
      <c r="Y150" s="62"/>
      <c r="Z150" s="62"/>
      <c r="AA150" s="62"/>
      <c r="AB150" s="63"/>
      <c r="AC150" s="62" t="str">
        <f t="shared" si="2"/>
        <v>Opal</v>
      </c>
    </row>
    <row r="151">
      <c r="A151" s="62" t="str">
        <f>IFERROR(__xludf.DUMMYFUNCTION("iferror(SPLIT(Tracker!L152,CHAR(10)),"""")"),"")</f>
        <v/>
      </c>
      <c r="B151" s="62"/>
      <c r="C151" s="62"/>
      <c r="D151" s="62"/>
      <c r="E151" s="63"/>
      <c r="F151" s="62" t="str">
        <f>IFERROR(__xludf.DUMMYFUNCTION("iferror(SPLIT(Tracker!N152,CHAR(10)),"""")"),"")</f>
        <v/>
      </c>
      <c r="G151" s="62"/>
      <c r="H151" s="62"/>
      <c r="I151" s="62"/>
      <c r="J151" s="63"/>
      <c r="K151" s="62" t="str">
        <f>IFERROR(__xludf.DUMMYFUNCTION("iferror(SPLIT(Tracker!P152,CHAR(10)),"""")"),"")</f>
        <v/>
      </c>
      <c r="L151" s="62"/>
      <c r="M151" s="62"/>
      <c r="N151" s="62"/>
      <c r="O151" s="63"/>
      <c r="P151" s="62" t="str">
        <f>IFERROR(__xludf.DUMMYFUNCTION("iferror(SPLIT(Tracker!R152,CHAR(10)),"""")"),"")</f>
        <v/>
      </c>
      <c r="Q151" s="62"/>
      <c r="R151" s="62"/>
      <c r="S151" s="62"/>
      <c r="T151" s="63"/>
      <c r="U151" s="62" t="str">
        <f>IFERROR(__xludf.DUMMYFUNCTION("""COMPUTED_VALUE"""),"3 Lizalfos Horn")</f>
        <v>3 Lizalfos Horn</v>
      </c>
      <c r="V151" s="62">
        <f>IFERROR(__xludf.DUMMYFUNCTION("SPLIT(U151,"" "")"),3.0)</f>
        <v>3</v>
      </c>
      <c r="W151" s="62" t="str">
        <f>IFERROR(__xludf.DUMMYFUNCTION("""COMPUTED_VALUE"""),"Lizalfos")</f>
        <v>Lizalfos</v>
      </c>
      <c r="X151" s="62" t="str">
        <f>IFERROR(__xludf.DUMMYFUNCTION("""COMPUTED_VALUE"""),"Horn")</f>
        <v>Horn</v>
      </c>
      <c r="Y151" s="62"/>
      <c r="Z151" s="62"/>
      <c r="AA151" s="62"/>
      <c r="AB151" s="63"/>
      <c r="AC151" s="62" t="str">
        <f t="shared" si="2"/>
        <v>Lizalfos Horn</v>
      </c>
    </row>
    <row r="152">
      <c r="A152" s="62" t="str">
        <f>IFERROR(__xludf.DUMMYFUNCTION("iferror(SPLIT(Tracker!L153,CHAR(10)),"""")"),"")</f>
        <v/>
      </c>
      <c r="B152" s="62"/>
      <c r="C152" s="62"/>
      <c r="D152" s="62"/>
      <c r="E152" s="63"/>
      <c r="F152" s="62" t="str">
        <f>IFERROR(__xludf.DUMMYFUNCTION("iferror(SPLIT(Tracker!N153,CHAR(10)),"""")"),"")</f>
        <v/>
      </c>
      <c r="G152" s="62"/>
      <c r="H152" s="62"/>
      <c r="I152" s="62"/>
      <c r="J152" s="63"/>
      <c r="K152" s="62" t="str">
        <f>IFERROR(__xludf.DUMMYFUNCTION("iferror(SPLIT(Tracker!P153,CHAR(10)),"""")"),"")</f>
        <v/>
      </c>
      <c r="L152" s="62"/>
      <c r="M152" s="62"/>
      <c r="N152" s="62"/>
      <c r="O152" s="63"/>
      <c r="P152" s="62" t="str">
        <f>IFERROR(__xludf.DUMMYFUNCTION("iferror(SPLIT(Tracker!R153,CHAR(10)),"""")"),"")</f>
        <v/>
      </c>
      <c r="Q152" s="62"/>
      <c r="R152" s="62"/>
      <c r="S152" s="62"/>
      <c r="T152" s="63"/>
      <c r="U152" s="62" t="str">
        <f>IFERROR(__xludf.DUMMYFUNCTION("""COMPUTED_VALUE"""),"5 Lizalfos Talon")</f>
        <v>5 Lizalfos Talon</v>
      </c>
      <c r="V152" s="62">
        <f>IFERROR(__xludf.DUMMYFUNCTION("SPLIT(U152,"" "")"),5.0)</f>
        <v>5</v>
      </c>
      <c r="W152" s="62" t="str">
        <f>IFERROR(__xludf.DUMMYFUNCTION("""COMPUTED_VALUE"""),"Lizalfos")</f>
        <v>Lizalfos</v>
      </c>
      <c r="X152" s="62" t="str">
        <f>IFERROR(__xludf.DUMMYFUNCTION("""COMPUTED_VALUE"""),"Talon")</f>
        <v>Talon</v>
      </c>
      <c r="Y152" s="62"/>
      <c r="Z152" s="62"/>
      <c r="AA152" s="62"/>
      <c r="AB152" s="63"/>
      <c r="AC152" s="62" t="str">
        <f t="shared" si="2"/>
        <v>Lizalfos Talon</v>
      </c>
    </row>
    <row r="153">
      <c r="A153" s="62" t="str">
        <f>IFERROR(__xludf.DUMMYFUNCTION("iferror(SPLIT(Tracker!L154,CHAR(10)),"""")"),"")</f>
        <v/>
      </c>
      <c r="B153" s="62"/>
      <c r="C153" s="62"/>
      <c r="D153" s="62"/>
      <c r="E153" s="63"/>
      <c r="F153" s="62" t="str">
        <f>IFERROR(__xludf.DUMMYFUNCTION("iferror(SPLIT(Tracker!N154,CHAR(10)),"""")"),"")</f>
        <v/>
      </c>
      <c r="G153" s="62"/>
      <c r="H153" s="62"/>
      <c r="I153" s="62"/>
      <c r="J153" s="63"/>
      <c r="K153" s="62" t="str">
        <f>IFERROR(__xludf.DUMMYFUNCTION("iferror(SPLIT(Tracker!P154,CHAR(10)),"""")"),"")</f>
        <v/>
      </c>
      <c r="L153" s="62"/>
      <c r="M153" s="62"/>
      <c r="N153" s="62"/>
      <c r="O153" s="63"/>
      <c r="P153" s="62" t="str">
        <f>IFERROR(__xludf.DUMMYFUNCTION("iferror(SPLIT(Tracker!R154,CHAR(10)),"""")"),"")</f>
        <v/>
      </c>
      <c r="Q153" s="62"/>
      <c r="R153" s="62"/>
      <c r="S153" s="62"/>
      <c r="T153" s="63"/>
      <c r="U153" s="62" t="str">
        <f>IFERROR(__xludf.DUMMYFUNCTION("""COMPUTED_VALUE"""),"5 Hyrule Bass")</f>
        <v>5 Hyrule Bass</v>
      </c>
      <c r="V153" s="62">
        <f>IFERROR(__xludf.DUMMYFUNCTION("SPLIT(U153,"" "")"),5.0)</f>
        <v>5</v>
      </c>
      <c r="W153" s="62" t="str">
        <f>IFERROR(__xludf.DUMMYFUNCTION("""COMPUTED_VALUE"""),"Hyrule")</f>
        <v>Hyrule</v>
      </c>
      <c r="X153" s="62" t="str">
        <f>IFERROR(__xludf.DUMMYFUNCTION("""COMPUTED_VALUE"""),"Bass")</f>
        <v>Bass</v>
      </c>
      <c r="Y153" s="62"/>
      <c r="Z153" s="62"/>
      <c r="AA153" s="62"/>
      <c r="AB153" s="63"/>
      <c r="AC153" s="62" t="str">
        <f t="shared" si="2"/>
        <v>Hyrule Bass</v>
      </c>
    </row>
    <row r="154">
      <c r="A154" s="62" t="str">
        <f>IFERROR(__xludf.DUMMYFUNCTION("iferror(SPLIT(Tracker!L155,CHAR(10)),"""")"),"")</f>
        <v/>
      </c>
      <c r="B154" s="62"/>
      <c r="C154" s="62"/>
      <c r="D154" s="62"/>
      <c r="E154" s="63"/>
      <c r="F154" s="62" t="str">
        <f>IFERROR(__xludf.DUMMYFUNCTION("iferror(SPLIT(Tracker!N155,CHAR(10)),"""")"),"")</f>
        <v/>
      </c>
      <c r="G154" s="62"/>
      <c r="H154" s="62"/>
      <c r="I154" s="62"/>
      <c r="J154" s="63"/>
      <c r="K154" s="62" t="str">
        <f>IFERROR(__xludf.DUMMYFUNCTION("iferror(SPLIT(Tracker!P155,CHAR(10)),"""")"),"")</f>
        <v/>
      </c>
      <c r="L154" s="62"/>
      <c r="M154" s="62"/>
      <c r="N154" s="62"/>
      <c r="O154" s="63"/>
      <c r="P154" s="62" t="str">
        <f>IFERROR(__xludf.DUMMYFUNCTION("iferror(SPLIT(Tracker!R155,CHAR(10)),"""")"),"")</f>
        <v/>
      </c>
      <c r="Q154" s="62"/>
      <c r="R154" s="62"/>
      <c r="S154" s="62"/>
      <c r="T154" s="63"/>
      <c r="U154" s="62" t="str">
        <f>IFERROR(__xludf.DUMMYFUNCTION("""COMPUTED_VALUE"""),"5 Blue Lizalfos Horn")</f>
        <v>5 Blue Lizalfos Horn</v>
      </c>
      <c r="V154" s="62">
        <f>IFERROR(__xludf.DUMMYFUNCTION("SPLIT(U154,"" "")"),5.0)</f>
        <v>5</v>
      </c>
      <c r="W154" s="62" t="str">
        <f>IFERROR(__xludf.DUMMYFUNCTION("""COMPUTED_VALUE"""),"Blue")</f>
        <v>Blue</v>
      </c>
      <c r="X154" s="62" t="str">
        <f>IFERROR(__xludf.DUMMYFUNCTION("""COMPUTED_VALUE"""),"Lizalfos")</f>
        <v>Lizalfos</v>
      </c>
      <c r="Y154" s="62" t="str">
        <f>IFERROR(__xludf.DUMMYFUNCTION("""COMPUTED_VALUE"""),"Horn")</f>
        <v>Horn</v>
      </c>
      <c r="Z154" s="62"/>
      <c r="AA154" s="62"/>
      <c r="AB154" s="63"/>
      <c r="AC154" s="62" t="str">
        <f t="shared" si="2"/>
        <v>Blue Lizalfos Horn</v>
      </c>
    </row>
    <row r="155">
      <c r="A155" s="62" t="str">
        <f>IFERROR(__xludf.DUMMYFUNCTION("iferror(SPLIT(Tracker!L156,CHAR(10)),"""")"),"")</f>
        <v/>
      </c>
      <c r="B155" s="62"/>
      <c r="C155" s="62"/>
      <c r="D155" s="62"/>
      <c r="E155" s="63"/>
      <c r="F155" s="62" t="str">
        <f>IFERROR(__xludf.DUMMYFUNCTION("iferror(SPLIT(Tracker!N156,CHAR(10)),"""")"),"")</f>
        <v/>
      </c>
      <c r="G155" s="62"/>
      <c r="H155" s="62"/>
      <c r="I155" s="62"/>
      <c r="J155" s="63"/>
      <c r="K155" s="62" t="str">
        <f>IFERROR(__xludf.DUMMYFUNCTION("iferror(SPLIT(Tracker!P156,CHAR(10)),"""")"),"")</f>
        <v/>
      </c>
      <c r="L155" s="62"/>
      <c r="M155" s="62"/>
      <c r="N155" s="62"/>
      <c r="O155" s="63"/>
      <c r="P155" s="62" t="str">
        <f>IFERROR(__xludf.DUMMYFUNCTION("iferror(SPLIT(Tracker!R156,CHAR(10)),"""")"),"")</f>
        <v/>
      </c>
      <c r="Q155" s="62"/>
      <c r="R155" s="62"/>
      <c r="S155" s="62"/>
      <c r="T155" s="63"/>
      <c r="U155" s="62" t="str">
        <f>IFERROR(__xludf.DUMMYFUNCTION("""COMPUTED_VALUE"""),"3 Lizalfos Tail")</f>
        <v>3 Lizalfos Tail</v>
      </c>
      <c r="V155" s="62">
        <f>IFERROR(__xludf.DUMMYFUNCTION("SPLIT(U155,"" "")"),3.0)</f>
        <v>3</v>
      </c>
      <c r="W155" s="62" t="str">
        <f>IFERROR(__xludf.DUMMYFUNCTION("""COMPUTED_VALUE"""),"Lizalfos")</f>
        <v>Lizalfos</v>
      </c>
      <c r="X155" s="62" t="str">
        <f>IFERROR(__xludf.DUMMYFUNCTION("""COMPUTED_VALUE"""),"Tail")</f>
        <v>Tail</v>
      </c>
      <c r="Y155" s="62"/>
      <c r="Z155" s="62"/>
      <c r="AA155" s="62"/>
      <c r="AB155" s="63"/>
      <c r="AC155" s="62" t="str">
        <f t="shared" si="2"/>
        <v>Lizalfos Tail</v>
      </c>
    </row>
    <row r="156">
      <c r="A156" s="62" t="str">
        <f>IFERROR(__xludf.DUMMYFUNCTION("iferror(SPLIT(Tracker!L157,CHAR(10)),"""")"),"")</f>
        <v/>
      </c>
      <c r="B156" s="62"/>
      <c r="C156" s="62"/>
      <c r="D156" s="62"/>
      <c r="E156" s="63"/>
      <c r="F156" s="62" t="str">
        <f>IFERROR(__xludf.DUMMYFUNCTION("iferror(SPLIT(Tracker!N157,CHAR(10)),"""")"),"")</f>
        <v/>
      </c>
      <c r="G156" s="62"/>
      <c r="H156" s="62"/>
      <c r="I156" s="62"/>
      <c r="J156" s="63"/>
      <c r="K156" s="62" t="str">
        <f>IFERROR(__xludf.DUMMYFUNCTION("iferror(SPLIT(Tracker!P157,CHAR(10)),"""")"),"")</f>
        <v/>
      </c>
      <c r="L156" s="62"/>
      <c r="M156" s="62"/>
      <c r="N156" s="62"/>
      <c r="O156" s="63"/>
      <c r="P156" s="62" t="str">
        <f>IFERROR(__xludf.DUMMYFUNCTION("iferror(SPLIT(Tracker!R157,CHAR(10)),"""")"),"")</f>
        <v/>
      </c>
      <c r="Q156" s="62"/>
      <c r="R156" s="62"/>
      <c r="S156" s="62"/>
      <c r="T156" s="63"/>
      <c r="U156" s="62" t="str">
        <f>IFERROR(__xludf.DUMMYFUNCTION("""COMPUTED_VALUE"""),"3 Hearty Bass")</f>
        <v>3 Hearty Bass</v>
      </c>
      <c r="V156" s="62">
        <f>IFERROR(__xludf.DUMMYFUNCTION("SPLIT(U156,"" "")"),3.0)</f>
        <v>3</v>
      </c>
      <c r="W156" s="62" t="str">
        <f>IFERROR(__xludf.DUMMYFUNCTION("""COMPUTED_VALUE"""),"Hearty")</f>
        <v>Hearty</v>
      </c>
      <c r="X156" s="62" t="str">
        <f>IFERROR(__xludf.DUMMYFUNCTION("""COMPUTED_VALUE"""),"Bass")</f>
        <v>Bass</v>
      </c>
      <c r="Y156" s="62"/>
      <c r="Z156" s="62"/>
      <c r="AA156" s="62"/>
      <c r="AB156" s="63"/>
      <c r="AC156" s="62" t="str">
        <f t="shared" si="2"/>
        <v>Hearty Bass</v>
      </c>
    </row>
    <row r="157">
      <c r="A157" s="62" t="str">
        <f>IFERROR(__xludf.DUMMYFUNCTION("iferror(SPLIT(Tracker!L158,CHAR(10)),"""")"),"")</f>
        <v/>
      </c>
      <c r="B157" s="62"/>
      <c r="C157" s="62"/>
      <c r="D157" s="62"/>
      <c r="E157" s="63"/>
      <c r="F157" s="62" t="str">
        <f>IFERROR(__xludf.DUMMYFUNCTION("iferror(SPLIT(Tracker!N158,CHAR(10)),"""")"),"")</f>
        <v/>
      </c>
      <c r="G157" s="62"/>
      <c r="H157" s="62"/>
      <c r="I157" s="62"/>
      <c r="J157" s="63"/>
      <c r="K157" s="62" t="str">
        <f>IFERROR(__xludf.DUMMYFUNCTION("iferror(SPLIT(Tracker!P158,CHAR(10)),"""")"),"")</f>
        <v/>
      </c>
      <c r="L157" s="62"/>
      <c r="M157" s="62"/>
      <c r="N157" s="62"/>
      <c r="O157" s="63"/>
      <c r="P157" s="62" t="str">
        <f>IFERROR(__xludf.DUMMYFUNCTION("iferror(SPLIT(Tracker!R158,CHAR(10)),"""")"),"")</f>
        <v/>
      </c>
      <c r="Q157" s="62"/>
      <c r="R157" s="62"/>
      <c r="S157" s="62"/>
      <c r="T157" s="63"/>
      <c r="U157" s="62" t="str">
        <f>IFERROR(__xludf.DUMMYFUNCTION("""COMPUTED_VALUE"""),"5 Black Lizalfos Horn")</f>
        <v>5 Black Lizalfos Horn</v>
      </c>
      <c r="V157" s="62">
        <f>IFERROR(__xludf.DUMMYFUNCTION("SPLIT(U157,"" "")"),5.0)</f>
        <v>5</v>
      </c>
      <c r="W157" s="62" t="str">
        <f>IFERROR(__xludf.DUMMYFUNCTION("""COMPUTED_VALUE"""),"Black")</f>
        <v>Black</v>
      </c>
      <c r="X157" s="62" t="str">
        <f>IFERROR(__xludf.DUMMYFUNCTION("""COMPUTED_VALUE"""),"Lizalfos")</f>
        <v>Lizalfos</v>
      </c>
      <c r="Y157" s="62" t="str">
        <f>IFERROR(__xludf.DUMMYFUNCTION("""COMPUTED_VALUE"""),"Horn")</f>
        <v>Horn</v>
      </c>
      <c r="Z157" s="62"/>
      <c r="AA157" s="62"/>
      <c r="AB157" s="63"/>
      <c r="AC157" s="62" t="str">
        <f t="shared" si="2"/>
        <v>Black Lizalfos Horn</v>
      </c>
    </row>
    <row r="158">
      <c r="A158" s="62" t="str">
        <f>IFERROR(__xludf.DUMMYFUNCTION("iferror(SPLIT(Tracker!L159,CHAR(10)),"""")"),"")</f>
        <v/>
      </c>
      <c r="B158" s="62"/>
      <c r="C158" s="62"/>
      <c r="D158" s="62"/>
      <c r="E158" s="63"/>
      <c r="F158" s="62" t="str">
        <f>IFERROR(__xludf.DUMMYFUNCTION("iferror(SPLIT(Tracker!N159,CHAR(10)),"""")"),"")</f>
        <v/>
      </c>
      <c r="G158" s="62"/>
      <c r="H158" s="62"/>
      <c r="I158" s="62"/>
      <c r="J158" s="63"/>
      <c r="K158" s="62" t="str">
        <f>IFERROR(__xludf.DUMMYFUNCTION("iferror(SPLIT(Tracker!P159,CHAR(10)),"""")"),"")</f>
        <v/>
      </c>
      <c r="L158" s="62"/>
      <c r="M158" s="62"/>
      <c r="N158" s="62"/>
      <c r="O158" s="63"/>
      <c r="P158" s="62" t="str">
        <f>IFERROR(__xludf.DUMMYFUNCTION("iferror(SPLIT(Tracker!R159,CHAR(10)),"""")"),"")</f>
        <v/>
      </c>
      <c r="Q158" s="62"/>
      <c r="R158" s="62"/>
      <c r="S158" s="62"/>
      <c r="T158" s="63"/>
      <c r="U158" s="62" t="str">
        <f>IFERROR(__xludf.DUMMYFUNCTION("""COMPUTED_VALUE"""),"5 Blue Lizalfos Tail")</f>
        <v>5 Blue Lizalfos Tail</v>
      </c>
      <c r="V158" s="62">
        <f>IFERROR(__xludf.DUMMYFUNCTION("SPLIT(U158,"" "")"),5.0)</f>
        <v>5</v>
      </c>
      <c r="W158" s="62" t="str">
        <f>IFERROR(__xludf.DUMMYFUNCTION("""COMPUTED_VALUE"""),"Blue")</f>
        <v>Blue</v>
      </c>
      <c r="X158" s="62" t="str">
        <f>IFERROR(__xludf.DUMMYFUNCTION("""COMPUTED_VALUE"""),"Lizalfos")</f>
        <v>Lizalfos</v>
      </c>
      <c r="Y158" s="62" t="str">
        <f>IFERROR(__xludf.DUMMYFUNCTION("""COMPUTED_VALUE"""),"Tail")</f>
        <v>Tail</v>
      </c>
      <c r="Z158" s="62"/>
      <c r="AA158" s="62"/>
      <c r="AB158" s="63"/>
      <c r="AC158" s="62" t="str">
        <f t="shared" si="2"/>
        <v>Blue Lizalfos Tail</v>
      </c>
    </row>
    <row r="159">
      <c r="A159" s="62" t="str">
        <f>IFERROR(__xludf.DUMMYFUNCTION("iferror(SPLIT(Tracker!L160,CHAR(10)),"""")"),"")</f>
        <v/>
      </c>
      <c r="B159" s="62"/>
      <c r="C159" s="62"/>
      <c r="D159" s="62"/>
      <c r="E159" s="63"/>
      <c r="F159" s="62" t="str">
        <f>IFERROR(__xludf.DUMMYFUNCTION("iferror(SPLIT(Tracker!N160,CHAR(10)),"""")"),"")</f>
        <v/>
      </c>
      <c r="G159" s="62"/>
      <c r="H159" s="62"/>
      <c r="I159" s="62"/>
      <c r="J159" s="63"/>
      <c r="K159" s="62" t="str">
        <f>IFERROR(__xludf.DUMMYFUNCTION("iferror(SPLIT(Tracker!P160,CHAR(10)),"""")"),"")</f>
        <v/>
      </c>
      <c r="L159" s="62"/>
      <c r="M159" s="62"/>
      <c r="N159" s="62"/>
      <c r="O159" s="63"/>
      <c r="P159" s="62" t="str">
        <f>IFERROR(__xludf.DUMMYFUNCTION("iferror(SPLIT(Tracker!R160,CHAR(10)),"""")"),"")</f>
        <v/>
      </c>
      <c r="Q159" s="62"/>
      <c r="R159" s="62"/>
      <c r="S159" s="62"/>
      <c r="T159" s="63"/>
      <c r="U159" s="62" t="str">
        <f>IFERROR(__xludf.DUMMYFUNCTION("""COMPUTED_VALUE"""),"20 Opal")</f>
        <v>20 Opal</v>
      </c>
      <c r="V159" s="62">
        <f>IFERROR(__xludf.DUMMYFUNCTION("SPLIT(U159,"" "")"),20.0)</f>
        <v>20</v>
      </c>
      <c r="W159" s="62" t="str">
        <f>IFERROR(__xludf.DUMMYFUNCTION("""COMPUTED_VALUE"""),"Opal")</f>
        <v>Opal</v>
      </c>
      <c r="X159" s="62"/>
      <c r="Y159" s="62"/>
      <c r="Z159" s="62"/>
      <c r="AA159" s="62"/>
      <c r="AB159" s="63"/>
      <c r="AC159" s="62" t="str">
        <f t="shared" si="2"/>
        <v>Opal</v>
      </c>
    </row>
    <row r="160">
      <c r="A160" s="62" t="str">
        <f>IFERROR(__xludf.DUMMYFUNCTION("iferror(SPLIT(Tracker!L161,CHAR(10)),"""")"),"")</f>
        <v/>
      </c>
      <c r="B160" s="62"/>
      <c r="C160" s="62"/>
      <c r="D160" s="62"/>
      <c r="E160" s="63"/>
      <c r="F160" s="62" t="str">
        <f>IFERROR(__xludf.DUMMYFUNCTION("iferror(SPLIT(Tracker!N161,CHAR(10)),"""")"),"")</f>
        <v/>
      </c>
      <c r="G160" s="62"/>
      <c r="H160" s="62"/>
      <c r="I160" s="62"/>
      <c r="J160" s="63"/>
      <c r="K160" s="62" t="str">
        <f>IFERROR(__xludf.DUMMYFUNCTION("iferror(SPLIT(Tracker!P161,CHAR(10)),"""")"),"")</f>
        <v/>
      </c>
      <c r="L160" s="62"/>
      <c r="M160" s="62"/>
      <c r="N160" s="62"/>
      <c r="O160" s="63"/>
      <c r="P160" s="62" t="str">
        <f>IFERROR(__xludf.DUMMYFUNCTION("iferror(SPLIT(Tracker!R161,CHAR(10)),"""")"),"")</f>
        <v/>
      </c>
      <c r="Q160" s="62"/>
      <c r="R160" s="62"/>
      <c r="S160" s="62"/>
      <c r="T160" s="63"/>
      <c r="U160" s="62" t="str">
        <f>IFERROR(__xludf.DUMMYFUNCTION("""COMPUTED_VALUE"""),"3 White Chuchu Jelly")</f>
        <v>3 White Chuchu Jelly</v>
      </c>
      <c r="V160" s="62">
        <f>IFERROR(__xludf.DUMMYFUNCTION("SPLIT(U160,"" "")"),3.0)</f>
        <v>3</v>
      </c>
      <c r="W160" s="62" t="str">
        <f>IFERROR(__xludf.DUMMYFUNCTION("""COMPUTED_VALUE"""),"White")</f>
        <v>White</v>
      </c>
      <c r="X160" s="62" t="str">
        <f>IFERROR(__xludf.DUMMYFUNCTION("""COMPUTED_VALUE"""),"Chuchu")</f>
        <v>Chuchu</v>
      </c>
      <c r="Y160" s="62" t="str">
        <f>IFERROR(__xludf.DUMMYFUNCTION("""COMPUTED_VALUE"""),"Jelly")</f>
        <v>Jelly</v>
      </c>
      <c r="Z160" s="62"/>
      <c r="AA160" s="62"/>
      <c r="AB160" s="63"/>
      <c r="AC160" s="62" t="str">
        <f t="shared" si="2"/>
        <v>White Chuchu Jelly</v>
      </c>
    </row>
    <row r="161">
      <c r="A161" s="62" t="str">
        <f>IFERROR(__xludf.DUMMYFUNCTION("iferror(SPLIT(Tracker!L162,CHAR(10)),"""")"),"")</f>
        <v/>
      </c>
      <c r="B161" s="62"/>
      <c r="C161" s="62"/>
      <c r="D161" s="62"/>
      <c r="E161" s="63"/>
      <c r="F161" s="62" t="str">
        <f>IFERROR(__xludf.DUMMYFUNCTION("iferror(SPLIT(Tracker!N162,CHAR(10)),"""")"),"")</f>
        <v/>
      </c>
      <c r="G161" s="62"/>
      <c r="H161" s="62"/>
      <c r="I161" s="62"/>
      <c r="J161" s="63"/>
      <c r="K161" s="62" t="str">
        <f>IFERROR(__xludf.DUMMYFUNCTION("iferror(SPLIT(Tracker!P162,CHAR(10)),"""")"),"")</f>
        <v/>
      </c>
      <c r="L161" s="62"/>
      <c r="M161" s="62"/>
      <c r="N161" s="62"/>
      <c r="O161" s="63"/>
      <c r="P161" s="62" t="str">
        <f>IFERROR(__xludf.DUMMYFUNCTION("iferror(SPLIT(Tracker!R162,CHAR(10)),"""")"),"")</f>
        <v/>
      </c>
      <c r="Q161" s="62"/>
      <c r="R161" s="62"/>
      <c r="S161" s="62"/>
      <c r="T161" s="63"/>
      <c r="U161" s="62" t="str">
        <f>IFERROR(__xludf.DUMMYFUNCTION("""COMPUTED_VALUE"""),"5 White Chuchu Jelly")</f>
        <v>5 White Chuchu Jelly</v>
      </c>
      <c r="V161" s="62">
        <f>IFERROR(__xludf.DUMMYFUNCTION("SPLIT(U161,"" "")"),5.0)</f>
        <v>5</v>
      </c>
      <c r="W161" s="62" t="str">
        <f>IFERROR(__xludf.DUMMYFUNCTION("""COMPUTED_VALUE"""),"White")</f>
        <v>White</v>
      </c>
      <c r="X161" s="62" t="str">
        <f>IFERROR(__xludf.DUMMYFUNCTION("""COMPUTED_VALUE"""),"Chuchu")</f>
        <v>Chuchu</v>
      </c>
      <c r="Y161" s="62" t="str">
        <f>IFERROR(__xludf.DUMMYFUNCTION("""COMPUTED_VALUE"""),"Jelly")</f>
        <v>Jelly</v>
      </c>
      <c r="Z161" s="62"/>
      <c r="AA161" s="62"/>
      <c r="AB161" s="63"/>
      <c r="AC161" s="62" t="str">
        <f t="shared" si="2"/>
        <v>White Chuchu Jelly</v>
      </c>
    </row>
    <row r="162">
      <c r="U162" s="62" t="str">
        <f>IFERROR(__xludf.DUMMYFUNCTION("""COMPUTED_VALUE"""),"3 Cool Safflina")</f>
        <v>3 Cool Safflina</v>
      </c>
      <c r="V162" s="62">
        <f>IFERROR(__xludf.DUMMYFUNCTION("SPLIT(U162,"" "")"),3.0)</f>
        <v>3</v>
      </c>
      <c r="W162" s="62" t="str">
        <f>IFERROR(__xludf.DUMMYFUNCTION("""COMPUTED_VALUE"""),"Cool")</f>
        <v>Cool</v>
      </c>
      <c r="X162" s="62" t="str">
        <f>IFERROR(__xludf.DUMMYFUNCTION("""COMPUTED_VALUE"""),"Safflina")</f>
        <v>Safflina</v>
      </c>
      <c r="Y162" s="62"/>
      <c r="Z162" s="62"/>
      <c r="AA162" s="62"/>
      <c r="AB162" s="63"/>
      <c r="AC162" s="62" t="str">
        <f t="shared" si="2"/>
        <v>Cool Safflina</v>
      </c>
    </row>
    <row r="163">
      <c r="U163" s="62" t="str">
        <f>IFERROR(__xludf.DUMMYFUNCTION("""COMPUTED_VALUE"""),"5 Ice Keese Wing")</f>
        <v>5 Ice Keese Wing</v>
      </c>
      <c r="V163" s="62">
        <f>IFERROR(__xludf.DUMMYFUNCTION("SPLIT(U163,"" "")"),5.0)</f>
        <v>5</v>
      </c>
      <c r="W163" s="62" t="str">
        <f>IFERROR(__xludf.DUMMYFUNCTION("""COMPUTED_VALUE"""),"Ice")</f>
        <v>Ice</v>
      </c>
      <c r="X163" s="62" t="str">
        <f>IFERROR(__xludf.DUMMYFUNCTION("""COMPUTED_VALUE"""),"Keese")</f>
        <v>Keese</v>
      </c>
      <c r="Y163" s="62" t="str">
        <f>IFERROR(__xludf.DUMMYFUNCTION("""COMPUTED_VALUE"""),"Wing")</f>
        <v>Wing</v>
      </c>
      <c r="Z163" s="62"/>
      <c r="AA163" s="62"/>
      <c r="AB163" s="63"/>
      <c r="AC163" s="62" t="str">
        <f t="shared" si="2"/>
        <v>Ice Keese Wing</v>
      </c>
    </row>
    <row r="164">
      <c r="U164" s="62" t="str">
        <f>IFERROR(__xludf.DUMMYFUNCTION("""COMPUTED_VALUE"""),"3 Ice-Breath Lizalfos Tail")</f>
        <v>3 Ice-Breath Lizalfos Tail</v>
      </c>
      <c r="V164" s="62">
        <f>IFERROR(__xludf.DUMMYFUNCTION("SPLIT(U164,"" "")"),3.0)</f>
        <v>3</v>
      </c>
      <c r="W164" s="62" t="str">
        <f>IFERROR(__xludf.DUMMYFUNCTION("""COMPUTED_VALUE"""),"Ice-Breath")</f>
        <v>Ice-Breath</v>
      </c>
      <c r="X164" s="62" t="str">
        <f>IFERROR(__xludf.DUMMYFUNCTION("""COMPUTED_VALUE"""),"Lizalfos")</f>
        <v>Lizalfos</v>
      </c>
      <c r="Y164" s="62" t="str">
        <f>IFERROR(__xludf.DUMMYFUNCTION("""COMPUTED_VALUE"""),"Tail")</f>
        <v>Tail</v>
      </c>
      <c r="Z164" s="62"/>
      <c r="AA164" s="62"/>
      <c r="AB164" s="63"/>
      <c r="AC164" s="62" t="str">
        <f t="shared" si="2"/>
        <v>Ice-Breath Lizalfos Tail</v>
      </c>
    </row>
    <row r="165">
      <c r="U165" s="62" t="str">
        <f>IFERROR(__xludf.DUMMYFUNCTION("""COMPUTED_VALUE"""),"5 Chillshroom")</f>
        <v>5 Chillshroom</v>
      </c>
      <c r="V165" s="62">
        <f>IFERROR(__xludf.DUMMYFUNCTION("SPLIT(U165,"" "")"),5.0)</f>
        <v>5</v>
      </c>
      <c r="W165" s="62" t="str">
        <f>IFERROR(__xludf.DUMMYFUNCTION("""COMPUTED_VALUE"""),"Chillshroom")</f>
        <v>Chillshroom</v>
      </c>
      <c r="X165" s="62"/>
      <c r="Y165" s="62"/>
      <c r="Z165" s="62"/>
      <c r="AA165" s="62"/>
      <c r="AB165" s="63"/>
      <c r="AC165" s="62" t="str">
        <f t="shared" si="2"/>
        <v>Chillshroom</v>
      </c>
    </row>
    <row r="166">
      <c r="U166" s="62" t="str">
        <f>IFERROR(__xludf.DUMMYFUNCTION("""COMPUTED_VALUE"""),"5 Ice-Breath Lizalfos Horn")</f>
        <v>5 Ice-Breath Lizalfos Horn</v>
      </c>
      <c r="V166" s="62">
        <f>IFERROR(__xludf.DUMMYFUNCTION("SPLIT(U166,"" "")"),5.0)</f>
        <v>5</v>
      </c>
      <c r="W166" s="62" t="str">
        <f>IFERROR(__xludf.DUMMYFUNCTION("""COMPUTED_VALUE"""),"Ice-Breath")</f>
        <v>Ice-Breath</v>
      </c>
      <c r="X166" s="62" t="str">
        <f>IFERROR(__xludf.DUMMYFUNCTION("""COMPUTED_VALUE"""),"Lizalfos")</f>
        <v>Lizalfos</v>
      </c>
      <c r="Y166" s="62" t="str">
        <f>IFERROR(__xludf.DUMMYFUNCTION("""COMPUTED_VALUE"""),"Horn")</f>
        <v>Horn</v>
      </c>
      <c r="Z166" s="62"/>
      <c r="AA166" s="62"/>
      <c r="AB166" s="63"/>
      <c r="AC166" s="62" t="str">
        <f t="shared" si="2"/>
        <v>Ice-Breath Lizalfos Horn</v>
      </c>
    </row>
    <row r="167">
      <c r="U167" s="62" t="str">
        <f>IFERROR(__xludf.DUMMYFUNCTION("""COMPUTED_VALUE"""),"10 Ice-Breath Lizalfos Tail")</f>
        <v>10 Ice-Breath Lizalfos Tail</v>
      </c>
      <c r="V167" s="62">
        <f>IFERROR(__xludf.DUMMYFUNCTION("SPLIT(U167,"" "")"),10.0)</f>
        <v>10</v>
      </c>
      <c r="W167" s="62" t="str">
        <f>IFERROR(__xludf.DUMMYFUNCTION("""COMPUTED_VALUE"""),"Ice-Breath")</f>
        <v>Ice-Breath</v>
      </c>
      <c r="X167" s="62" t="str">
        <f>IFERROR(__xludf.DUMMYFUNCTION("""COMPUTED_VALUE"""),"Lizalfos")</f>
        <v>Lizalfos</v>
      </c>
      <c r="Y167" s="62" t="str">
        <f>IFERROR(__xludf.DUMMYFUNCTION("""COMPUTED_VALUE"""),"Tail")</f>
        <v>Tail</v>
      </c>
      <c r="Z167" s="62"/>
      <c r="AA167" s="62"/>
      <c r="AB167" s="63"/>
      <c r="AC167" s="62" t="str">
        <f t="shared" si="2"/>
        <v>Ice-Breath Lizalfos Tail</v>
      </c>
    </row>
    <row r="168">
      <c r="U168" s="62" t="str">
        <f>IFERROR(__xludf.DUMMYFUNCTION("""COMPUTED_VALUE"""),"5 Sapphire")</f>
        <v>5 Sapphire</v>
      </c>
      <c r="V168" s="62">
        <f>IFERROR(__xludf.DUMMYFUNCTION("SPLIT(U168,"" "")"),5.0)</f>
        <v>5</v>
      </c>
      <c r="W168" s="62" t="str">
        <f>IFERROR(__xludf.DUMMYFUNCTION("""COMPUTED_VALUE"""),"Sapphire")</f>
        <v>Sapphire</v>
      </c>
      <c r="X168" s="62"/>
      <c r="Y168" s="62"/>
      <c r="Z168" s="62"/>
      <c r="AA168" s="62"/>
      <c r="AB168" s="63"/>
      <c r="AC168" s="62" t="str">
        <f t="shared" si="2"/>
        <v>Sapphire</v>
      </c>
    </row>
    <row r="169">
      <c r="U169" s="62" t="str">
        <f>IFERROR(__xludf.DUMMYFUNCTION("""COMPUTED_VALUE"""),"3 White Chuchu Jelly")</f>
        <v>3 White Chuchu Jelly</v>
      </c>
      <c r="V169" s="62">
        <f>IFERROR(__xludf.DUMMYFUNCTION("SPLIT(U169,"" "")"),3.0)</f>
        <v>3</v>
      </c>
      <c r="W169" s="62" t="str">
        <f>IFERROR(__xludf.DUMMYFUNCTION("""COMPUTED_VALUE"""),"White")</f>
        <v>White</v>
      </c>
      <c r="X169" s="62" t="str">
        <f>IFERROR(__xludf.DUMMYFUNCTION("""COMPUTED_VALUE"""),"Chuchu")</f>
        <v>Chuchu</v>
      </c>
      <c r="Y169" s="62" t="str">
        <f>IFERROR(__xludf.DUMMYFUNCTION("""COMPUTED_VALUE"""),"Jelly")</f>
        <v>Jelly</v>
      </c>
      <c r="Z169" s="62"/>
      <c r="AA169" s="62"/>
      <c r="AB169" s="63"/>
      <c r="AC169" s="62" t="str">
        <f t="shared" si="2"/>
        <v>White Chuchu Jelly</v>
      </c>
    </row>
    <row r="170">
      <c r="U170" s="62" t="str">
        <f>IFERROR(__xludf.DUMMYFUNCTION("""COMPUTED_VALUE"""),"5 White Chuchu Jelly")</f>
        <v>5 White Chuchu Jelly</v>
      </c>
      <c r="V170" s="62">
        <f>IFERROR(__xludf.DUMMYFUNCTION("SPLIT(U170,"" "")"),5.0)</f>
        <v>5</v>
      </c>
      <c r="W170" s="62" t="str">
        <f>IFERROR(__xludf.DUMMYFUNCTION("""COMPUTED_VALUE"""),"White")</f>
        <v>White</v>
      </c>
      <c r="X170" s="62" t="str">
        <f>IFERROR(__xludf.DUMMYFUNCTION("""COMPUTED_VALUE"""),"Chuchu")</f>
        <v>Chuchu</v>
      </c>
      <c r="Y170" s="62" t="str">
        <f>IFERROR(__xludf.DUMMYFUNCTION("""COMPUTED_VALUE"""),"Jelly")</f>
        <v>Jelly</v>
      </c>
      <c r="Z170" s="62"/>
      <c r="AA170" s="62"/>
      <c r="AB170" s="63"/>
      <c r="AC170" s="62" t="str">
        <f t="shared" si="2"/>
        <v>White Chuchu Jelly</v>
      </c>
    </row>
    <row r="171">
      <c r="U171" s="62" t="str">
        <f>IFERROR(__xludf.DUMMYFUNCTION("""COMPUTED_VALUE"""),"3 Cool Safflina")</f>
        <v>3 Cool Safflina</v>
      </c>
      <c r="V171" s="62">
        <f>IFERROR(__xludf.DUMMYFUNCTION("SPLIT(U171,"" "")"),3.0)</f>
        <v>3</v>
      </c>
      <c r="W171" s="62" t="str">
        <f>IFERROR(__xludf.DUMMYFUNCTION("""COMPUTED_VALUE"""),"Cool")</f>
        <v>Cool</v>
      </c>
      <c r="X171" s="62" t="str">
        <f>IFERROR(__xludf.DUMMYFUNCTION("""COMPUTED_VALUE"""),"Safflina")</f>
        <v>Safflina</v>
      </c>
      <c r="Y171" s="62"/>
      <c r="Z171" s="62"/>
      <c r="AA171" s="62"/>
      <c r="AB171" s="63"/>
      <c r="AC171" s="62" t="str">
        <f t="shared" si="2"/>
        <v>Cool Safflina</v>
      </c>
    </row>
    <row r="172">
      <c r="U172" s="62" t="str">
        <f>IFERROR(__xludf.DUMMYFUNCTION("""COMPUTED_VALUE"""),"5 Ice Keese Wing")</f>
        <v>5 Ice Keese Wing</v>
      </c>
      <c r="V172" s="62">
        <f>IFERROR(__xludf.DUMMYFUNCTION("SPLIT(U172,"" "")"),5.0)</f>
        <v>5</v>
      </c>
      <c r="W172" s="62" t="str">
        <f>IFERROR(__xludf.DUMMYFUNCTION("""COMPUTED_VALUE"""),"Ice")</f>
        <v>Ice</v>
      </c>
      <c r="X172" s="62" t="str">
        <f>IFERROR(__xludf.DUMMYFUNCTION("""COMPUTED_VALUE"""),"Keese")</f>
        <v>Keese</v>
      </c>
      <c r="Y172" s="62" t="str">
        <f>IFERROR(__xludf.DUMMYFUNCTION("""COMPUTED_VALUE"""),"Wing")</f>
        <v>Wing</v>
      </c>
      <c r="Z172" s="62"/>
      <c r="AA172" s="62"/>
      <c r="AB172" s="63"/>
      <c r="AC172" s="62" t="str">
        <f t="shared" si="2"/>
        <v>Ice Keese Wing</v>
      </c>
    </row>
    <row r="173">
      <c r="U173" s="62" t="str">
        <f>IFERROR(__xludf.DUMMYFUNCTION("""COMPUTED_VALUE"""),"3 Ice-Breath Lizalfos Tail")</f>
        <v>3 Ice-Breath Lizalfos Tail</v>
      </c>
      <c r="V173" s="62">
        <f>IFERROR(__xludf.DUMMYFUNCTION("SPLIT(U173,"" "")"),3.0)</f>
        <v>3</v>
      </c>
      <c r="W173" s="62" t="str">
        <f>IFERROR(__xludf.DUMMYFUNCTION("""COMPUTED_VALUE"""),"Ice-Breath")</f>
        <v>Ice-Breath</v>
      </c>
      <c r="X173" s="62" t="str">
        <f>IFERROR(__xludf.DUMMYFUNCTION("""COMPUTED_VALUE"""),"Lizalfos")</f>
        <v>Lizalfos</v>
      </c>
      <c r="Y173" s="62" t="str">
        <f>IFERROR(__xludf.DUMMYFUNCTION("""COMPUTED_VALUE"""),"Tail")</f>
        <v>Tail</v>
      </c>
      <c r="Z173" s="62"/>
      <c r="AA173" s="62"/>
      <c r="AB173" s="63"/>
      <c r="AC173" s="62" t="str">
        <f t="shared" si="2"/>
        <v>Ice-Breath Lizalfos Tail</v>
      </c>
    </row>
    <row r="174">
      <c r="U174" s="62" t="str">
        <f>IFERROR(__xludf.DUMMYFUNCTION("""COMPUTED_VALUE"""),"5 Chillshroom")</f>
        <v>5 Chillshroom</v>
      </c>
      <c r="V174" s="62">
        <f>IFERROR(__xludf.DUMMYFUNCTION("SPLIT(U174,"" "")"),5.0)</f>
        <v>5</v>
      </c>
      <c r="W174" s="62" t="str">
        <f>IFERROR(__xludf.DUMMYFUNCTION("""COMPUTED_VALUE"""),"Chillshroom")</f>
        <v>Chillshroom</v>
      </c>
      <c r="X174" s="62"/>
      <c r="Y174" s="62"/>
      <c r="Z174" s="62"/>
      <c r="AA174" s="62"/>
      <c r="AB174" s="63"/>
      <c r="AC174" s="62" t="str">
        <f t="shared" si="2"/>
        <v>Chillshroom</v>
      </c>
    </row>
    <row r="175">
      <c r="U175" s="62" t="str">
        <f>IFERROR(__xludf.DUMMYFUNCTION("""COMPUTED_VALUE"""),"5 Ice-Breath Lizalfos Horn")</f>
        <v>5 Ice-Breath Lizalfos Horn</v>
      </c>
      <c r="V175" s="62">
        <f>IFERROR(__xludf.DUMMYFUNCTION("SPLIT(U175,"" "")"),5.0)</f>
        <v>5</v>
      </c>
      <c r="W175" s="62" t="str">
        <f>IFERROR(__xludf.DUMMYFUNCTION("""COMPUTED_VALUE"""),"Ice-Breath")</f>
        <v>Ice-Breath</v>
      </c>
      <c r="X175" s="62" t="str">
        <f>IFERROR(__xludf.DUMMYFUNCTION("""COMPUTED_VALUE"""),"Lizalfos")</f>
        <v>Lizalfos</v>
      </c>
      <c r="Y175" s="62" t="str">
        <f>IFERROR(__xludf.DUMMYFUNCTION("""COMPUTED_VALUE"""),"Horn")</f>
        <v>Horn</v>
      </c>
      <c r="Z175" s="62"/>
      <c r="AA175" s="62"/>
      <c r="AB175" s="63"/>
      <c r="AC175" s="62" t="str">
        <f t="shared" si="2"/>
        <v>Ice-Breath Lizalfos Horn</v>
      </c>
    </row>
    <row r="176">
      <c r="U176" s="62" t="str">
        <f>IFERROR(__xludf.DUMMYFUNCTION("""COMPUTED_VALUE"""),"10 Ice-Breath Lizalfos Tail")</f>
        <v>10 Ice-Breath Lizalfos Tail</v>
      </c>
      <c r="V176" s="62">
        <f>IFERROR(__xludf.DUMMYFUNCTION("SPLIT(U176,"" "")"),10.0)</f>
        <v>10</v>
      </c>
      <c r="W176" s="62" t="str">
        <f>IFERROR(__xludf.DUMMYFUNCTION("""COMPUTED_VALUE"""),"Ice-Breath")</f>
        <v>Ice-Breath</v>
      </c>
      <c r="X176" s="62" t="str">
        <f>IFERROR(__xludf.DUMMYFUNCTION("""COMPUTED_VALUE"""),"Lizalfos")</f>
        <v>Lizalfos</v>
      </c>
      <c r="Y176" s="62" t="str">
        <f>IFERROR(__xludf.DUMMYFUNCTION("""COMPUTED_VALUE"""),"Tail")</f>
        <v>Tail</v>
      </c>
      <c r="Z176" s="62"/>
      <c r="AA176" s="62"/>
      <c r="AB176" s="63"/>
      <c r="AC176" s="62" t="str">
        <f t="shared" si="2"/>
        <v>Ice-Breath Lizalfos Tail</v>
      </c>
    </row>
    <row r="177">
      <c r="U177" s="62" t="str">
        <f>IFERROR(__xludf.DUMMYFUNCTION("""COMPUTED_VALUE"""),"5 Sapphire")</f>
        <v>5 Sapphire</v>
      </c>
      <c r="V177" s="62">
        <f>IFERROR(__xludf.DUMMYFUNCTION("SPLIT(U177,"" "")"),5.0)</f>
        <v>5</v>
      </c>
      <c r="W177" s="62" t="str">
        <f>IFERROR(__xludf.DUMMYFUNCTION("""COMPUTED_VALUE"""),"Sapphire")</f>
        <v>Sapphire</v>
      </c>
      <c r="X177" s="62"/>
      <c r="Y177" s="62"/>
      <c r="Z177" s="62"/>
      <c r="AA177" s="62"/>
      <c r="AB177" s="63"/>
      <c r="AC177" s="62" t="str">
        <f t="shared" si="2"/>
        <v>Sapphire</v>
      </c>
    </row>
    <row r="178">
      <c r="U178" s="62" t="str">
        <f>IFERROR(__xludf.DUMMYFUNCTION("""COMPUTED_VALUE"""),"3 White Chuchu Jelly")</f>
        <v>3 White Chuchu Jelly</v>
      </c>
      <c r="V178" s="62">
        <f>IFERROR(__xludf.DUMMYFUNCTION("SPLIT(U178,"" "")"),3.0)</f>
        <v>3</v>
      </c>
      <c r="W178" s="62" t="str">
        <f>IFERROR(__xludf.DUMMYFUNCTION("""COMPUTED_VALUE"""),"White")</f>
        <v>White</v>
      </c>
      <c r="X178" s="62" t="str">
        <f>IFERROR(__xludf.DUMMYFUNCTION("""COMPUTED_VALUE"""),"Chuchu")</f>
        <v>Chuchu</v>
      </c>
      <c r="Y178" s="62" t="str">
        <f>IFERROR(__xludf.DUMMYFUNCTION("""COMPUTED_VALUE"""),"Jelly")</f>
        <v>Jelly</v>
      </c>
      <c r="Z178" s="62"/>
      <c r="AA178" s="62"/>
      <c r="AB178" s="63"/>
      <c r="AC178" s="62" t="str">
        <f t="shared" si="2"/>
        <v>White Chuchu Jelly</v>
      </c>
    </row>
    <row r="179">
      <c r="U179" s="62" t="str">
        <f>IFERROR(__xludf.DUMMYFUNCTION("""COMPUTED_VALUE"""),"5 White Chuchu Jelly")</f>
        <v>5 White Chuchu Jelly</v>
      </c>
      <c r="V179" s="62">
        <f>IFERROR(__xludf.DUMMYFUNCTION("SPLIT(U179,"" "")"),5.0)</f>
        <v>5</v>
      </c>
      <c r="W179" s="62" t="str">
        <f>IFERROR(__xludf.DUMMYFUNCTION("""COMPUTED_VALUE"""),"White")</f>
        <v>White</v>
      </c>
      <c r="X179" s="62" t="str">
        <f>IFERROR(__xludf.DUMMYFUNCTION("""COMPUTED_VALUE"""),"Chuchu")</f>
        <v>Chuchu</v>
      </c>
      <c r="Y179" s="62" t="str">
        <f>IFERROR(__xludf.DUMMYFUNCTION("""COMPUTED_VALUE"""),"Jelly")</f>
        <v>Jelly</v>
      </c>
      <c r="Z179" s="62"/>
      <c r="AA179" s="62"/>
      <c r="AB179" s="63"/>
      <c r="AC179" s="62" t="str">
        <f t="shared" si="2"/>
        <v>White Chuchu Jelly</v>
      </c>
    </row>
    <row r="180">
      <c r="U180" s="62" t="str">
        <f>IFERROR(__xludf.DUMMYFUNCTION("""COMPUTED_VALUE"""),"3 Cool Safflina")</f>
        <v>3 Cool Safflina</v>
      </c>
      <c r="V180" s="62">
        <f>IFERROR(__xludf.DUMMYFUNCTION("SPLIT(U180,"" "")"),3.0)</f>
        <v>3</v>
      </c>
      <c r="W180" s="62" t="str">
        <f>IFERROR(__xludf.DUMMYFUNCTION("""COMPUTED_VALUE"""),"Cool")</f>
        <v>Cool</v>
      </c>
      <c r="X180" s="62" t="str">
        <f>IFERROR(__xludf.DUMMYFUNCTION("""COMPUTED_VALUE"""),"Safflina")</f>
        <v>Safflina</v>
      </c>
      <c r="Y180" s="62"/>
      <c r="Z180" s="62"/>
      <c r="AA180" s="62"/>
      <c r="AB180" s="63"/>
      <c r="AC180" s="62" t="str">
        <f t="shared" si="2"/>
        <v>Cool Safflina</v>
      </c>
    </row>
    <row r="181">
      <c r="U181" s="62" t="str">
        <f>IFERROR(__xludf.DUMMYFUNCTION("""COMPUTED_VALUE"""),"5 Ice Keese Wing")</f>
        <v>5 Ice Keese Wing</v>
      </c>
      <c r="V181" s="62">
        <f>IFERROR(__xludf.DUMMYFUNCTION("SPLIT(U181,"" "")"),5.0)</f>
        <v>5</v>
      </c>
      <c r="W181" s="62" t="str">
        <f>IFERROR(__xludf.DUMMYFUNCTION("""COMPUTED_VALUE"""),"Ice")</f>
        <v>Ice</v>
      </c>
      <c r="X181" s="62" t="str">
        <f>IFERROR(__xludf.DUMMYFUNCTION("""COMPUTED_VALUE"""),"Keese")</f>
        <v>Keese</v>
      </c>
      <c r="Y181" s="62" t="str">
        <f>IFERROR(__xludf.DUMMYFUNCTION("""COMPUTED_VALUE"""),"Wing")</f>
        <v>Wing</v>
      </c>
      <c r="Z181" s="62"/>
      <c r="AA181" s="62"/>
      <c r="AB181" s="63"/>
      <c r="AC181" s="62" t="str">
        <f t="shared" si="2"/>
        <v>Ice Keese Wing</v>
      </c>
    </row>
    <row r="182">
      <c r="U182" s="62" t="str">
        <f>IFERROR(__xludf.DUMMYFUNCTION("""COMPUTED_VALUE"""),"3 Ice-Breath Lizalfos Tail")</f>
        <v>3 Ice-Breath Lizalfos Tail</v>
      </c>
      <c r="V182" s="62">
        <f>IFERROR(__xludf.DUMMYFUNCTION("SPLIT(U182,"" "")"),3.0)</f>
        <v>3</v>
      </c>
      <c r="W182" s="62" t="str">
        <f>IFERROR(__xludf.DUMMYFUNCTION("""COMPUTED_VALUE"""),"Ice-Breath")</f>
        <v>Ice-Breath</v>
      </c>
      <c r="X182" s="62" t="str">
        <f>IFERROR(__xludf.DUMMYFUNCTION("""COMPUTED_VALUE"""),"Lizalfos")</f>
        <v>Lizalfos</v>
      </c>
      <c r="Y182" s="62" t="str">
        <f>IFERROR(__xludf.DUMMYFUNCTION("""COMPUTED_VALUE"""),"Tail")</f>
        <v>Tail</v>
      </c>
      <c r="Z182" s="62"/>
      <c r="AA182" s="62"/>
      <c r="AB182" s="63"/>
      <c r="AC182" s="62" t="str">
        <f t="shared" si="2"/>
        <v>Ice-Breath Lizalfos Tail</v>
      </c>
    </row>
    <row r="183">
      <c r="U183" s="62" t="str">
        <f>IFERROR(__xludf.DUMMYFUNCTION("""COMPUTED_VALUE"""),"5 Chillshroom")</f>
        <v>5 Chillshroom</v>
      </c>
      <c r="V183" s="62">
        <f>IFERROR(__xludf.DUMMYFUNCTION("SPLIT(U183,"" "")"),5.0)</f>
        <v>5</v>
      </c>
      <c r="W183" s="62" t="str">
        <f>IFERROR(__xludf.DUMMYFUNCTION("""COMPUTED_VALUE"""),"Chillshroom")</f>
        <v>Chillshroom</v>
      </c>
      <c r="X183" s="62"/>
      <c r="Y183" s="62"/>
      <c r="Z183" s="62"/>
      <c r="AA183" s="62"/>
      <c r="AB183" s="63"/>
      <c r="AC183" s="62" t="str">
        <f t="shared" si="2"/>
        <v>Chillshroom</v>
      </c>
    </row>
    <row r="184">
      <c r="U184" s="62" t="str">
        <f>IFERROR(__xludf.DUMMYFUNCTION("""COMPUTED_VALUE"""),"5 Ice-Breath Lizalfos Horn")</f>
        <v>5 Ice-Breath Lizalfos Horn</v>
      </c>
      <c r="V184" s="62">
        <f>IFERROR(__xludf.DUMMYFUNCTION("SPLIT(U184,"" "")"),5.0)</f>
        <v>5</v>
      </c>
      <c r="W184" s="62" t="str">
        <f>IFERROR(__xludf.DUMMYFUNCTION("""COMPUTED_VALUE"""),"Ice-Breath")</f>
        <v>Ice-Breath</v>
      </c>
      <c r="X184" s="62" t="str">
        <f>IFERROR(__xludf.DUMMYFUNCTION("""COMPUTED_VALUE"""),"Lizalfos")</f>
        <v>Lizalfos</v>
      </c>
      <c r="Y184" s="62" t="str">
        <f>IFERROR(__xludf.DUMMYFUNCTION("""COMPUTED_VALUE"""),"Horn")</f>
        <v>Horn</v>
      </c>
      <c r="Z184" s="62"/>
      <c r="AA184" s="62"/>
      <c r="AB184" s="63"/>
      <c r="AC184" s="62" t="str">
        <f t="shared" si="2"/>
        <v>Ice-Breath Lizalfos Horn</v>
      </c>
    </row>
    <row r="185">
      <c r="U185" s="62" t="str">
        <f>IFERROR(__xludf.DUMMYFUNCTION("""COMPUTED_VALUE"""),"10 Ice-Breath Lizalfos Tail")</f>
        <v>10 Ice-Breath Lizalfos Tail</v>
      </c>
      <c r="V185" s="62">
        <f>IFERROR(__xludf.DUMMYFUNCTION("SPLIT(U185,"" "")"),10.0)</f>
        <v>10</v>
      </c>
      <c r="W185" s="62" t="str">
        <f>IFERROR(__xludf.DUMMYFUNCTION("""COMPUTED_VALUE"""),"Ice-Breath")</f>
        <v>Ice-Breath</v>
      </c>
      <c r="X185" s="62" t="str">
        <f>IFERROR(__xludf.DUMMYFUNCTION("""COMPUTED_VALUE"""),"Lizalfos")</f>
        <v>Lizalfos</v>
      </c>
      <c r="Y185" s="62" t="str">
        <f>IFERROR(__xludf.DUMMYFUNCTION("""COMPUTED_VALUE"""),"Tail")</f>
        <v>Tail</v>
      </c>
      <c r="Z185" s="62"/>
      <c r="AA185" s="62"/>
      <c r="AB185" s="63"/>
      <c r="AC185" s="62" t="str">
        <f t="shared" si="2"/>
        <v>Ice-Breath Lizalfos Tail</v>
      </c>
    </row>
    <row r="186">
      <c r="U186" s="62" t="str">
        <f>IFERROR(__xludf.DUMMYFUNCTION("""COMPUTED_VALUE"""),"5 Sapphire")</f>
        <v>5 Sapphire</v>
      </c>
      <c r="V186" s="62">
        <f>IFERROR(__xludf.DUMMYFUNCTION("SPLIT(U186,"" "")"),5.0)</f>
        <v>5</v>
      </c>
      <c r="W186" s="62" t="str">
        <f>IFERROR(__xludf.DUMMYFUNCTION("""COMPUTED_VALUE"""),"Sapphire")</f>
        <v>Sapphire</v>
      </c>
      <c r="X186" s="62"/>
      <c r="Y186" s="62"/>
      <c r="Z186" s="62"/>
      <c r="AA186" s="62"/>
      <c r="AB186" s="63"/>
      <c r="AC186" s="62" t="str">
        <f t="shared" si="2"/>
        <v>Sapphire</v>
      </c>
    </row>
    <row r="187">
      <c r="U187" s="62" t="str">
        <f>IFERROR(__xludf.DUMMYFUNCTION("""COMPUTED_VALUE"""),"1 Electric Lizalfos Horn")</f>
        <v>1 Electric Lizalfos Horn</v>
      </c>
      <c r="V187" s="62">
        <f>IFERROR(__xludf.DUMMYFUNCTION("SPLIT(U187,"" "")"),1.0)</f>
        <v>1</v>
      </c>
      <c r="W187" s="62" t="str">
        <f>IFERROR(__xludf.DUMMYFUNCTION("""COMPUTED_VALUE"""),"Electric")</f>
        <v>Electric</v>
      </c>
      <c r="X187" s="62" t="str">
        <f>IFERROR(__xludf.DUMMYFUNCTION("""COMPUTED_VALUE"""),"Lizalfos")</f>
        <v>Lizalfos</v>
      </c>
      <c r="Y187" s="62" t="str">
        <f>IFERROR(__xludf.DUMMYFUNCTION("""COMPUTED_VALUE"""),"Horn")</f>
        <v>Horn</v>
      </c>
      <c r="Z187" s="62"/>
      <c r="AA187" s="62"/>
      <c r="AB187" s="63"/>
      <c r="AC187" s="62" t="str">
        <f t="shared" si="2"/>
        <v>Electric Lizalfos Horn</v>
      </c>
    </row>
    <row r="188">
      <c r="U188" s="62" t="str">
        <f>IFERROR(__xludf.DUMMYFUNCTION("""COMPUTED_VALUE"""),"3 Yellow Chuchu Jelly")</f>
        <v>3 Yellow Chuchu Jelly</v>
      </c>
      <c r="V188" s="62">
        <f>IFERROR(__xludf.DUMMYFUNCTION("SPLIT(U188,"" "")"),3.0)</f>
        <v>3</v>
      </c>
      <c r="W188" s="62" t="str">
        <f>IFERROR(__xludf.DUMMYFUNCTION("""COMPUTED_VALUE"""),"Yellow")</f>
        <v>Yellow</v>
      </c>
      <c r="X188" s="62" t="str">
        <f>IFERROR(__xludf.DUMMYFUNCTION("""COMPUTED_VALUE"""),"Chuchu")</f>
        <v>Chuchu</v>
      </c>
      <c r="Y188" s="62" t="str">
        <f>IFERROR(__xludf.DUMMYFUNCTION("""COMPUTED_VALUE"""),"Jelly")</f>
        <v>Jelly</v>
      </c>
      <c r="Z188" s="62"/>
      <c r="AA188" s="62"/>
      <c r="AB188" s="63"/>
      <c r="AC188" s="62" t="str">
        <f t="shared" si="2"/>
        <v>Yellow Chuchu Jelly</v>
      </c>
    </row>
    <row r="189">
      <c r="U189" s="62" t="str">
        <f>IFERROR(__xludf.DUMMYFUNCTION("""COMPUTED_VALUE"""),"8 Yellow Chuchu Jelly")</f>
        <v>8 Yellow Chuchu Jelly</v>
      </c>
      <c r="V189" s="62">
        <f>IFERROR(__xludf.DUMMYFUNCTION("SPLIT(U189,"" "")"),8.0)</f>
        <v>8</v>
      </c>
      <c r="W189" s="62" t="str">
        <f>IFERROR(__xludf.DUMMYFUNCTION("""COMPUTED_VALUE"""),"Yellow")</f>
        <v>Yellow</v>
      </c>
      <c r="X189" s="62" t="str">
        <f>IFERROR(__xludf.DUMMYFUNCTION("""COMPUTED_VALUE"""),"Chuchu")</f>
        <v>Chuchu</v>
      </c>
      <c r="Y189" s="62" t="str">
        <f>IFERROR(__xludf.DUMMYFUNCTION("""COMPUTED_VALUE"""),"Jelly")</f>
        <v>Jelly</v>
      </c>
      <c r="Z189" s="62"/>
      <c r="AA189" s="62"/>
      <c r="AB189" s="63"/>
      <c r="AC189" s="62" t="str">
        <f t="shared" si="2"/>
        <v>Yellow Chuchu Jelly</v>
      </c>
    </row>
    <row r="190">
      <c r="U190" s="62" t="str">
        <f>IFERROR(__xludf.DUMMYFUNCTION("""COMPUTED_VALUE"""),"5 Voltfruit")</f>
        <v>5 Voltfruit</v>
      </c>
      <c r="V190" s="62">
        <f>IFERROR(__xludf.DUMMYFUNCTION("SPLIT(U190,"" "")"),5.0)</f>
        <v>5</v>
      </c>
      <c r="W190" s="62" t="str">
        <f>IFERROR(__xludf.DUMMYFUNCTION("""COMPUTED_VALUE"""),"Voltfruit")</f>
        <v>Voltfruit</v>
      </c>
      <c r="X190" s="62"/>
      <c r="Y190" s="62"/>
      <c r="Z190" s="62"/>
      <c r="AA190" s="62"/>
      <c r="AB190" s="63"/>
      <c r="AC190" s="62" t="str">
        <f t="shared" si="2"/>
        <v>Voltfruit</v>
      </c>
    </row>
    <row r="191">
      <c r="U191" s="62" t="str">
        <f>IFERROR(__xludf.DUMMYFUNCTION("""COMPUTED_VALUE"""),"5 Zapshroom")</f>
        <v>5 Zapshroom</v>
      </c>
      <c r="V191" s="62">
        <f>IFERROR(__xludf.DUMMYFUNCTION("SPLIT(U191,"" "")"),5.0)</f>
        <v>5</v>
      </c>
      <c r="W191" s="62" t="str">
        <f>IFERROR(__xludf.DUMMYFUNCTION("""COMPUTED_VALUE"""),"Zapshroom")</f>
        <v>Zapshroom</v>
      </c>
      <c r="X191" s="62"/>
      <c r="Y191" s="62"/>
      <c r="Z191" s="62"/>
      <c r="AA191" s="62"/>
      <c r="AB191" s="63"/>
      <c r="AC191" s="62" t="str">
        <f t="shared" si="2"/>
        <v>Zapshroom</v>
      </c>
    </row>
    <row r="192">
      <c r="U192" s="62" t="str">
        <f>IFERROR(__xludf.DUMMYFUNCTION("""COMPUTED_VALUE"""),"5 Electric Lizalfos Tail")</f>
        <v>5 Electric Lizalfos Tail</v>
      </c>
      <c r="V192" s="62">
        <f>IFERROR(__xludf.DUMMYFUNCTION("SPLIT(U192,"" "")"),5.0)</f>
        <v>5</v>
      </c>
      <c r="W192" s="62" t="str">
        <f>IFERROR(__xludf.DUMMYFUNCTION("""COMPUTED_VALUE"""),"Electric")</f>
        <v>Electric</v>
      </c>
      <c r="X192" s="62" t="str">
        <f>IFERROR(__xludf.DUMMYFUNCTION("""COMPUTED_VALUE"""),"Lizalfos")</f>
        <v>Lizalfos</v>
      </c>
      <c r="Y192" s="62" t="str">
        <f>IFERROR(__xludf.DUMMYFUNCTION("""COMPUTED_VALUE"""),"Tail")</f>
        <v>Tail</v>
      </c>
      <c r="Z192" s="62"/>
      <c r="AA192" s="62"/>
      <c r="AB192" s="63"/>
      <c r="AC192" s="62" t="str">
        <f t="shared" si="2"/>
        <v>Electric Lizalfos Tail</v>
      </c>
    </row>
    <row r="193">
      <c r="U193" s="62" t="str">
        <f>IFERROR(__xludf.DUMMYFUNCTION("""COMPUTED_VALUE"""),"8 Electric Safflina")</f>
        <v>8 Electric Safflina</v>
      </c>
      <c r="V193" s="62">
        <f>IFERROR(__xludf.DUMMYFUNCTION("SPLIT(U193,"" "")"),8.0)</f>
        <v>8</v>
      </c>
      <c r="W193" s="62" t="str">
        <f>IFERROR(__xludf.DUMMYFUNCTION("""COMPUTED_VALUE"""),"Electric")</f>
        <v>Electric</v>
      </c>
      <c r="X193" s="62" t="str">
        <f>IFERROR(__xludf.DUMMYFUNCTION("""COMPUTED_VALUE"""),"Safflina")</f>
        <v>Safflina</v>
      </c>
      <c r="Y193" s="62"/>
      <c r="Z193" s="62"/>
      <c r="AA193" s="62"/>
      <c r="AB193" s="63"/>
      <c r="AC193" s="62" t="str">
        <f t="shared" si="2"/>
        <v>Electric Safflina</v>
      </c>
    </row>
    <row r="194">
      <c r="U194" s="62" t="str">
        <f>IFERROR(__xludf.DUMMYFUNCTION("""COMPUTED_VALUE"""),"5 Electric Lizalfos Horn")</f>
        <v>5 Electric Lizalfos Horn</v>
      </c>
      <c r="V194" s="62">
        <f>IFERROR(__xludf.DUMMYFUNCTION("SPLIT(U194,"" "")"),5.0)</f>
        <v>5</v>
      </c>
      <c r="W194" s="62" t="str">
        <f>IFERROR(__xludf.DUMMYFUNCTION("""COMPUTED_VALUE"""),"Electric")</f>
        <v>Electric</v>
      </c>
      <c r="X194" s="62" t="str">
        <f>IFERROR(__xludf.DUMMYFUNCTION("""COMPUTED_VALUE"""),"Lizalfos")</f>
        <v>Lizalfos</v>
      </c>
      <c r="Y194" s="62" t="str">
        <f>IFERROR(__xludf.DUMMYFUNCTION("""COMPUTED_VALUE"""),"Horn")</f>
        <v>Horn</v>
      </c>
      <c r="Z194" s="62"/>
      <c r="AA194" s="62"/>
      <c r="AB194" s="63"/>
      <c r="AC194" s="62" t="str">
        <f t="shared" si="2"/>
        <v>Electric Lizalfos Horn</v>
      </c>
    </row>
    <row r="195">
      <c r="U195" s="62" t="str">
        <f>IFERROR(__xludf.DUMMYFUNCTION("""COMPUTED_VALUE"""),"5 Topaz")</f>
        <v>5 Topaz</v>
      </c>
      <c r="V195" s="62">
        <f>IFERROR(__xludf.DUMMYFUNCTION("SPLIT(U195,"" "")"),5.0)</f>
        <v>5</v>
      </c>
      <c r="W195" s="62" t="str">
        <f>IFERROR(__xludf.DUMMYFUNCTION("""COMPUTED_VALUE"""),"Topaz")</f>
        <v>Topaz</v>
      </c>
      <c r="X195" s="62"/>
      <c r="Y195" s="62"/>
      <c r="Z195" s="62"/>
      <c r="AA195" s="62"/>
      <c r="AB195" s="63"/>
      <c r="AC195" s="62" t="str">
        <f t="shared" si="2"/>
        <v>Topaz</v>
      </c>
    </row>
    <row r="196">
      <c r="U196" s="62" t="str">
        <f>IFERROR(__xludf.DUMMYFUNCTION("""COMPUTED_VALUE"""),"8 Electric Lizalfos Tail")</f>
        <v>8 Electric Lizalfos Tail</v>
      </c>
      <c r="V196" s="62">
        <f>IFERROR(__xludf.DUMMYFUNCTION("SPLIT(U196,"" "")"),8.0)</f>
        <v>8</v>
      </c>
      <c r="W196" s="62" t="str">
        <f>IFERROR(__xludf.DUMMYFUNCTION("""COMPUTED_VALUE"""),"Electric")</f>
        <v>Electric</v>
      </c>
      <c r="X196" s="62" t="str">
        <f>IFERROR(__xludf.DUMMYFUNCTION("""COMPUTED_VALUE"""),"Lizalfos")</f>
        <v>Lizalfos</v>
      </c>
      <c r="Y196" s="62" t="str">
        <f>IFERROR(__xludf.DUMMYFUNCTION("""COMPUTED_VALUE"""),"Tail")</f>
        <v>Tail</v>
      </c>
      <c r="Z196" s="62"/>
      <c r="AA196" s="62"/>
      <c r="AB196" s="63"/>
      <c r="AC196" s="62" t="str">
        <f t="shared" si="2"/>
        <v>Electric Lizalfos Tail</v>
      </c>
    </row>
    <row r="197">
      <c r="U197" s="62" t="str">
        <f>IFERROR(__xludf.DUMMYFUNCTION("""COMPUTED_VALUE"""),"1 Electric Lizalfos Horn")</f>
        <v>1 Electric Lizalfos Horn</v>
      </c>
      <c r="V197" s="62">
        <f>IFERROR(__xludf.DUMMYFUNCTION("SPLIT(U197,"" "")"),1.0)</f>
        <v>1</v>
      </c>
      <c r="W197" s="62" t="str">
        <f>IFERROR(__xludf.DUMMYFUNCTION("""COMPUTED_VALUE"""),"Electric")</f>
        <v>Electric</v>
      </c>
      <c r="X197" s="62" t="str">
        <f>IFERROR(__xludf.DUMMYFUNCTION("""COMPUTED_VALUE"""),"Lizalfos")</f>
        <v>Lizalfos</v>
      </c>
      <c r="Y197" s="62" t="str">
        <f>IFERROR(__xludf.DUMMYFUNCTION("""COMPUTED_VALUE"""),"Horn")</f>
        <v>Horn</v>
      </c>
      <c r="Z197" s="62"/>
      <c r="AA197" s="62"/>
      <c r="AB197" s="63"/>
      <c r="AC197" s="62" t="str">
        <f t="shared" si="2"/>
        <v>Electric Lizalfos Horn</v>
      </c>
    </row>
    <row r="198">
      <c r="U198" s="62" t="str">
        <f>IFERROR(__xludf.DUMMYFUNCTION("""COMPUTED_VALUE"""),"3 Yellow Chuchu Jelly")</f>
        <v>3 Yellow Chuchu Jelly</v>
      </c>
      <c r="V198" s="62">
        <f>IFERROR(__xludf.DUMMYFUNCTION("SPLIT(U198,"" "")"),3.0)</f>
        <v>3</v>
      </c>
      <c r="W198" s="62" t="str">
        <f>IFERROR(__xludf.DUMMYFUNCTION("""COMPUTED_VALUE"""),"Yellow")</f>
        <v>Yellow</v>
      </c>
      <c r="X198" s="62" t="str">
        <f>IFERROR(__xludf.DUMMYFUNCTION("""COMPUTED_VALUE"""),"Chuchu")</f>
        <v>Chuchu</v>
      </c>
      <c r="Y198" s="62" t="str">
        <f>IFERROR(__xludf.DUMMYFUNCTION("""COMPUTED_VALUE"""),"Jelly")</f>
        <v>Jelly</v>
      </c>
      <c r="Z198" s="62"/>
      <c r="AA198" s="62"/>
      <c r="AB198" s="63"/>
      <c r="AC198" s="62" t="str">
        <f t="shared" si="2"/>
        <v>Yellow Chuchu Jelly</v>
      </c>
    </row>
    <row r="199">
      <c r="U199" s="62" t="str">
        <f>IFERROR(__xludf.DUMMYFUNCTION("""COMPUTED_VALUE"""),"8 Yellow Chuchu Jelly")</f>
        <v>8 Yellow Chuchu Jelly</v>
      </c>
      <c r="V199" s="62">
        <f>IFERROR(__xludf.DUMMYFUNCTION("SPLIT(U199,"" "")"),8.0)</f>
        <v>8</v>
      </c>
      <c r="W199" s="62" t="str">
        <f>IFERROR(__xludf.DUMMYFUNCTION("""COMPUTED_VALUE"""),"Yellow")</f>
        <v>Yellow</v>
      </c>
      <c r="X199" s="62" t="str">
        <f>IFERROR(__xludf.DUMMYFUNCTION("""COMPUTED_VALUE"""),"Chuchu")</f>
        <v>Chuchu</v>
      </c>
      <c r="Y199" s="62" t="str">
        <f>IFERROR(__xludf.DUMMYFUNCTION("""COMPUTED_VALUE"""),"Jelly")</f>
        <v>Jelly</v>
      </c>
      <c r="Z199" s="62"/>
      <c r="AA199" s="62"/>
      <c r="AB199" s="63"/>
      <c r="AC199" s="62" t="str">
        <f t="shared" si="2"/>
        <v>Yellow Chuchu Jelly</v>
      </c>
    </row>
    <row r="200">
      <c r="U200" s="62" t="str">
        <f>IFERROR(__xludf.DUMMYFUNCTION("""COMPUTED_VALUE"""),"5 Voltfruit")</f>
        <v>5 Voltfruit</v>
      </c>
      <c r="V200" s="62">
        <f>IFERROR(__xludf.DUMMYFUNCTION("SPLIT(U200,"" "")"),5.0)</f>
        <v>5</v>
      </c>
      <c r="W200" s="62" t="str">
        <f>IFERROR(__xludf.DUMMYFUNCTION("""COMPUTED_VALUE"""),"Voltfruit")</f>
        <v>Voltfruit</v>
      </c>
      <c r="X200" s="62"/>
      <c r="Y200" s="62"/>
      <c r="Z200" s="62"/>
      <c r="AA200" s="62"/>
      <c r="AB200" s="63"/>
      <c r="AC200" s="62" t="str">
        <f t="shared" si="2"/>
        <v>Voltfruit</v>
      </c>
    </row>
    <row r="201">
      <c r="U201" s="62" t="str">
        <f>IFERROR(__xludf.DUMMYFUNCTION("""COMPUTED_VALUE"""),"5 Zapshroom")</f>
        <v>5 Zapshroom</v>
      </c>
      <c r="V201" s="62">
        <f>IFERROR(__xludf.DUMMYFUNCTION("SPLIT(U201,"" "")"),5.0)</f>
        <v>5</v>
      </c>
      <c r="W201" s="62" t="str">
        <f>IFERROR(__xludf.DUMMYFUNCTION("""COMPUTED_VALUE"""),"Zapshroom")</f>
        <v>Zapshroom</v>
      </c>
      <c r="X201" s="62"/>
      <c r="Y201" s="62"/>
      <c r="Z201" s="62"/>
      <c r="AA201" s="62"/>
      <c r="AB201" s="63"/>
      <c r="AC201" s="62" t="str">
        <f t="shared" si="2"/>
        <v>Zapshroom</v>
      </c>
    </row>
    <row r="202">
      <c r="U202" s="62" t="str">
        <f>IFERROR(__xludf.DUMMYFUNCTION("""COMPUTED_VALUE"""),"5 Electric Lizalfos Tail")</f>
        <v>5 Electric Lizalfos Tail</v>
      </c>
      <c r="V202" s="62">
        <f>IFERROR(__xludf.DUMMYFUNCTION("SPLIT(U202,"" "")"),5.0)</f>
        <v>5</v>
      </c>
      <c r="W202" s="62" t="str">
        <f>IFERROR(__xludf.DUMMYFUNCTION("""COMPUTED_VALUE"""),"Electric")</f>
        <v>Electric</v>
      </c>
      <c r="X202" s="62" t="str">
        <f>IFERROR(__xludf.DUMMYFUNCTION("""COMPUTED_VALUE"""),"Lizalfos")</f>
        <v>Lizalfos</v>
      </c>
      <c r="Y202" s="62" t="str">
        <f>IFERROR(__xludf.DUMMYFUNCTION("""COMPUTED_VALUE"""),"Tail")</f>
        <v>Tail</v>
      </c>
      <c r="Z202" s="62"/>
      <c r="AA202" s="62"/>
      <c r="AB202" s="63"/>
      <c r="AC202" s="62" t="str">
        <f t="shared" si="2"/>
        <v>Electric Lizalfos Tail</v>
      </c>
    </row>
    <row r="203">
      <c r="U203" s="62" t="str">
        <f>IFERROR(__xludf.DUMMYFUNCTION("""COMPUTED_VALUE"""),"8 Electric Safflina")</f>
        <v>8 Electric Safflina</v>
      </c>
      <c r="V203" s="62">
        <f>IFERROR(__xludf.DUMMYFUNCTION("SPLIT(U203,"" "")"),8.0)</f>
        <v>8</v>
      </c>
      <c r="W203" s="62" t="str">
        <f>IFERROR(__xludf.DUMMYFUNCTION("""COMPUTED_VALUE"""),"Electric")</f>
        <v>Electric</v>
      </c>
      <c r="X203" s="62" t="str">
        <f>IFERROR(__xludf.DUMMYFUNCTION("""COMPUTED_VALUE"""),"Safflina")</f>
        <v>Safflina</v>
      </c>
      <c r="Y203" s="62"/>
      <c r="Z203" s="62"/>
      <c r="AA203" s="62"/>
      <c r="AB203" s="63"/>
      <c r="AC203" s="62" t="str">
        <f t="shared" si="2"/>
        <v>Electric Safflina</v>
      </c>
    </row>
    <row r="204">
      <c r="U204" s="62" t="str">
        <f>IFERROR(__xludf.DUMMYFUNCTION("""COMPUTED_VALUE"""),"5 Electric Lizalfos Horn")</f>
        <v>5 Electric Lizalfos Horn</v>
      </c>
      <c r="V204" s="62">
        <f>IFERROR(__xludf.DUMMYFUNCTION("SPLIT(U204,"" "")"),5.0)</f>
        <v>5</v>
      </c>
      <c r="W204" s="62" t="str">
        <f>IFERROR(__xludf.DUMMYFUNCTION("""COMPUTED_VALUE"""),"Electric")</f>
        <v>Electric</v>
      </c>
      <c r="X204" s="62" t="str">
        <f>IFERROR(__xludf.DUMMYFUNCTION("""COMPUTED_VALUE"""),"Lizalfos")</f>
        <v>Lizalfos</v>
      </c>
      <c r="Y204" s="62" t="str">
        <f>IFERROR(__xludf.DUMMYFUNCTION("""COMPUTED_VALUE"""),"Horn")</f>
        <v>Horn</v>
      </c>
      <c r="Z204" s="62"/>
      <c r="AA204" s="62"/>
      <c r="AB204" s="63"/>
      <c r="AC204" s="62" t="str">
        <f t="shared" si="2"/>
        <v>Electric Lizalfos Horn</v>
      </c>
    </row>
    <row r="205">
      <c r="U205" s="62" t="str">
        <f>IFERROR(__xludf.DUMMYFUNCTION("""COMPUTED_VALUE"""),"5 Topaz")</f>
        <v>5 Topaz</v>
      </c>
      <c r="V205" s="62">
        <f>IFERROR(__xludf.DUMMYFUNCTION("SPLIT(U205,"" "")"),5.0)</f>
        <v>5</v>
      </c>
      <c r="W205" s="62" t="str">
        <f>IFERROR(__xludf.DUMMYFUNCTION("""COMPUTED_VALUE"""),"Topaz")</f>
        <v>Topaz</v>
      </c>
      <c r="X205" s="62"/>
      <c r="Y205" s="62"/>
      <c r="Z205" s="62"/>
      <c r="AA205" s="62"/>
      <c r="AB205" s="63"/>
      <c r="AC205" s="62" t="str">
        <f t="shared" si="2"/>
        <v>Topaz</v>
      </c>
    </row>
    <row r="206">
      <c r="U206" s="62" t="str">
        <f>IFERROR(__xludf.DUMMYFUNCTION("""COMPUTED_VALUE"""),"8 Electric Lizalfos Tail")</f>
        <v>8 Electric Lizalfos Tail</v>
      </c>
      <c r="V206" s="62">
        <f>IFERROR(__xludf.DUMMYFUNCTION("SPLIT(U206,"" "")"),8.0)</f>
        <v>8</v>
      </c>
      <c r="W206" s="62" t="str">
        <f>IFERROR(__xludf.DUMMYFUNCTION("""COMPUTED_VALUE"""),"Electric")</f>
        <v>Electric</v>
      </c>
      <c r="X206" s="62" t="str">
        <f>IFERROR(__xludf.DUMMYFUNCTION("""COMPUTED_VALUE"""),"Lizalfos")</f>
        <v>Lizalfos</v>
      </c>
      <c r="Y206" s="62" t="str">
        <f>IFERROR(__xludf.DUMMYFUNCTION("""COMPUTED_VALUE"""),"Tail")</f>
        <v>Tail</v>
      </c>
      <c r="Z206" s="62"/>
      <c r="AA206" s="62"/>
      <c r="AB206" s="63"/>
      <c r="AC206" s="62" t="str">
        <f t="shared" si="2"/>
        <v>Electric Lizalfos Tail</v>
      </c>
    </row>
    <row r="207">
      <c r="U207" s="62" t="str">
        <f>IFERROR(__xludf.DUMMYFUNCTION("""COMPUTED_VALUE"""),"1 Electric Lizalfos Horn")</f>
        <v>1 Electric Lizalfos Horn</v>
      </c>
      <c r="V207" s="62">
        <f>IFERROR(__xludf.DUMMYFUNCTION("SPLIT(U207,"" "")"),1.0)</f>
        <v>1</v>
      </c>
      <c r="W207" s="62" t="str">
        <f>IFERROR(__xludf.DUMMYFUNCTION("""COMPUTED_VALUE"""),"Electric")</f>
        <v>Electric</v>
      </c>
      <c r="X207" s="62" t="str">
        <f>IFERROR(__xludf.DUMMYFUNCTION("""COMPUTED_VALUE"""),"Lizalfos")</f>
        <v>Lizalfos</v>
      </c>
      <c r="Y207" s="62" t="str">
        <f>IFERROR(__xludf.DUMMYFUNCTION("""COMPUTED_VALUE"""),"Horn")</f>
        <v>Horn</v>
      </c>
      <c r="Z207" s="62"/>
      <c r="AA207" s="62"/>
      <c r="AB207" s="63"/>
      <c r="AC207" s="62" t="str">
        <f t="shared" si="2"/>
        <v>Electric Lizalfos Horn</v>
      </c>
    </row>
    <row r="208">
      <c r="U208" s="62" t="str">
        <f>IFERROR(__xludf.DUMMYFUNCTION("""COMPUTED_VALUE"""),"3 Yellow Chuchu Jelly")</f>
        <v>3 Yellow Chuchu Jelly</v>
      </c>
      <c r="V208" s="62">
        <f>IFERROR(__xludf.DUMMYFUNCTION("SPLIT(U208,"" "")"),3.0)</f>
        <v>3</v>
      </c>
      <c r="W208" s="62" t="str">
        <f>IFERROR(__xludf.DUMMYFUNCTION("""COMPUTED_VALUE"""),"Yellow")</f>
        <v>Yellow</v>
      </c>
      <c r="X208" s="62" t="str">
        <f>IFERROR(__xludf.DUMMYFUNCTION("""COMPUTED_VALUE"""),"Chuchu")</f>
        <v>Chuchu</v>
      </c>
      <c r="Y208" s="62" t="str">
        <f>IFERROR(__xludf.DUMMYFUNCTION("""COMPUTED_VALUE"""),"Jelly")</f>
        <v>Jelly</v>
      </c>
      <c r="Z208" s="62"/>
      <c r="AA208" s="62"/>
      <c r="AB208" s="63"/>
      <c r="AC208" s="62" t="str">
        <f t="shared" si="2"/>
        <v>Yellow Chuchu Jelly</v>
      </c>
    </row>
    <row r="209">
      <c r="U209" s="62" t="str">
        <f>IFERROR(__xludf.DUMMYFUNCTION("""COMPUTED_VALUE"""),"8 Yellow Chuchu Jelly")</f>
        <v>8 Yellow Chuchu Jelly</v>
      </c>
      <c r="V209" s="62">
        <f>IFERROR(__xludf.DUMMYFUNCTION("SPLIT(U209,"" "")"),8.0)</f>
        <v>8</v>
      </c>
      <c r="W209" s="62" t="str">
        <f>IFERROR(__xludf.DUMMYFUNCTION("""COMPUTED_VALUE"""),"Yellow")</f>
        <v>Yellow</v>
      </c>
      <c r="X209" s="62" t="str">
        <f>IFERROR(__xludf.DUMMYFUNCTION("""COMPUTED_VALUE"""),"Chuchu")</f>
        <v>Chuchu</v>
      </c>
      <c r="Y209" s="62" t="str">
        <f>IFERROR(__xludf.DUMMYFUNCTION("""COMPUTED_VALUE"""),"Jelly")</f>
        <v>Jelly</v>
      </c>
      <c r="Z209" s="62"/>
      <c r="AA209" s="62"/>
      <c r="AB209" s="63"/>
      <c r="AC209" s="62" t="str">
        <f t="shared" si="2"/>
        <v>Yellow Chuchu Jelly</v>
      </c>
    </row>
    <row r="210">
      <c r="U210" s="62" t="str">
        <f>IFERROR(__xludf.DUMMYFUNCTION("""COMPUTED_VALUE"""),"5 Voltfruit")</f>
        <v>5 Voltfruit</v>
      </c>
      <c r="V210" s="62">
        <f>IFERROR(__xludf.DUMMYFUNCTION("SPLIT(U210,"" "")"),5.0)</f>
        <v>5</v>
      </c>
      <c r="W210" s="62" t="str">
        <f>IFERROR(__xludf.DUMMYFUNCTION("""COMPUTED_VALUE"""),"Voltfruit")</f>
        <v>Voltfruit</v>
      </c>
      <c r="X210" s="62"/>
      <c r="Y210" s="62"/>
      <c r="Z210" s="62"/>
      <c r="AA210" s="62"/>
      <c r="AB210" s="63"/>
      <c r="AC210" s="62" t="str">
        <f t="shared" si="2"/>
        <v>Voltfruit</v>
      </c>
    </row>
    <row r="211">
      <c r="U211" s="62" t="str">
        <f>IFERROR(__xludf.DUMMYFUNCTION("""COMPUTED_VALUE"""),"5 Zapshroom")</f>
        <v>5 Zapshroom</v>
      </c>
      <c r="V211" s="62">
        <f>IFERROR(__xludf.DUMMYFUNCTION("SPLIT(U211,"" "")"),5.0)</f>
        <v>5</v>
      </c>
      <c r="W211" s="62" t="str">
        <f>IFERROR(__xludf.DUMMYFUNCTION("""COMPUTED_VALUE"""),"Zapshroom")</f>
        <v>Zapshroom</v>
      </c>
      <c r="X211" s="62"/>
      <c r="Y211" s="62"/>
      <c r="Z211" s="62"/>
      <c r="AA211" s="62"/>
      <c r="AB211" s="63"/>
      <c r="AC211" s="62" t="str">
        <f t="shared" si="2"/>
        <v>Zapshroom</v>
      </c>
    </row>
    <row r="212">
      <c r="U212" s="62" t="str">
        <f>IFERROR(__xludf.DUMMYFUNCTION("""COMPUTED_VALUE"""),"5 Electric Lizalfos Tail")</f>
        <v>5 Electric Lizalfos Tail</v>
      </c>
      <c r="V212" s="62">
        <f>IFERROR(__xludf.DUMMYFUNCTION("SPLIT(U212,"" "")"),5.0)</f>
        <v>5</v>
      </c>
      <c r="W212" s="62" t="str">
        <f>IFERROR(__xludf.DUMMYFUNCTION("""COMPUTED_VALUE"""),"Electric")</f>
        <v>Electric</v>
      </c>
      <c r="X212" s="62" t="str">
        <f>IFERROR(__xludf.DUMMYFUNCTION("""COMPUTED_VALUE"""),"Lizalfos")</f>
        <v>Lizalfos</v>
      </c>
      <c r="Y212" s="62" t="str">
        <f>IFERROR(__xludf.DUMMYFUNCTION("""COMPUTED_VALUE"""),"Tail")</f>
        <v>Tail</v>
      </c>
      <c r="Z212" s="62"/>
      <c r="AA212" s="62"/>
      <c r="AB212" s="63"/>
      <c r="AC212" s="62" t="str">
        <f t="shared" si="2"/>
        <v>Electric Lizalfos Tail</v>
      </c>
    </row>
    <row r="213">
      <c r="U213" s="62" t="str">
        <f>IFERROR(__xludf.DUMMYFUNCTION("""COMPUTED_VALUE"""),"8 Electric Safflina")</f>
        <v>8 Electric Safflina</v>
      </c>
      <c r="V213" s="62">
        <f>IFERROR(__xludf.DUMMYFUNCTION("SPLIT(U213,"" "")"),8.0)</f>
        <v>8</v>
      </c>
      <c r="W213" s="62" t="str">
        <f>IFERROR(__xludf.DUMMYFUNCTION("""COMPUTED_VALUE"""),"Electric")</f>
        <v>Electric</v>
      </c>
      <c r="X213" s="62" t="str">
        <f>IFERROR(__xludf.DUMMYFUNCTION("""COMPUTED_VALUE"""),"Safflina")</f>
        <v>Safflina</v>
      </c>
      <c r="Y213" s="62"/>
      <c r="Z213" s="62"/>
      <c r="AA213" s="62"/>
      <c r="AB213" s="63"/>
      <c r="AC213" s="62" t="str">
        <f t="shared" si="2"/>
        <v>Electric Safflina</v>
      </c>
    </row>
    <row r="214">
      <c r="U214" s="62" t="str">
        <f>IFERROR(__xludf.DUMMYFUNCTION("""COMPUTED_VALUE"""),"5 Electric Lizalfos Horn")</f>
        <v>5 Electric Lizalfos Horn</v>
      </c>
      <c r="V214" s="62">
        <f>IFERROR(__xludf.DUMMYFUNCTION("SPLIT(U214,"" "")"),5.0)</f>
        <v>5</v>
      </c>
      <c r="W214" s="62" t="str">
        <f>IFERROR(__xludf.DUMMYFUNCTION("""COMPUTED_VALUE"""),"Electric")</f>
        <v>Electric</v>
      </c>
      <c r="X214" s="62" t="str">
        <f>IFERROR(__xludf.DUMMYFUNCTION("""COMPUTED_VALUE"""),"Lizalfos")</f>
        <v>Lizalfos</v>
      </c>
      <c r="Y214" s="62" t="str">
        <f>IFERROR(__xludf.DUMMYFUNCTION("""COMPUTED_VALUE"""),"Horn")</f>
        <v>Horn</v>
      </c>
      <c r="Z214" s="62"/>
      <c r="AA214" s="62"/>
      <c r="AB214" s="63"/>
      <c r="AC214" s="62" t="str">
        <f t="shared" si="2"/>
        <v>Electric Lizalfos Horn</v>
      </c>
    </row>
    <row r="215">
      <c r="U215" s="62" t="str">
        <f>IFERROR(__xludf.DUMMYFUNCTION("""COMPUTED_VALUE"""),"5 Topaz")</f>
        <v>5 Topaz</v>
      </c>
      <c r="V215" s="62">
        <f>IFERROR(__xludf.DUMMYFUNCTION("SPLIT(U215,"" "")"),5.0)</f>
        <v>5</v>
      </c>
      <c r="W215" s="62" t="str">
        <f>IFERROR(__xludf.DUMMYFUNCTION("""COMPUTED_VALUE"""),"Topaz")</f>
        <v>Topaz</v>
      </c>
      <c r="X215" s="62"/>
      <c r="Y215" s="62"/>
      <c r="Z215" s="62"/>
      <c r="AA215" s="62"/>
      <c r="AB215" s="63"/>
      <c r="AC215" s="62" t="str">
        <f t="shared" si="2"/>
        <v>Topaz</v>
      </c>
    </row>
    <row r="216">
      <c r="U216" s="62" t="str">
        <f>IFERROR(__xludf.DUMMYFUNCTION("""COMPUTED_VALUE"""),"8 Electric Lizalfos Tail")</f>
        <v>8 Electric Lizalfos Tail</v>
      </c>
      <c r="V216" s="62">
        <f>IFERROR(__xludf.DUMMYFUNCTION("SPLIT(U216,"" "")"),8.0)</f>
        <v>8</v>
      </c>
      <c r="W216" s="62" t="str">
        <f>IFERROR(__xludf.DUMMYFUNCTION("""COMPUTED_VALUE"""),"Electric")</f>
        <v>Electric</v>
      </c>
      <c r="X216" s="62" t="str">
        <f>IFERROR(__xludf.DUMMYFUNCTION("""COMPUTED_VALUE"""),"Lizalfos")</f>
        <v>Lizalfos</v>
      </c>
      <c r="Y216" s="62" t="str">
        <f>IFERROR(__xludf.DUMMYFUNCTION("""COMPUTED_VALUE"""),"Tail")</f>
        <v>Tail</v>
      </c>
      <c r="Z216" s="62"/>
      <c r="AA216" s="62"/>
      <c r="AB216" s="63"/>
      <c r="AC216" s="62" t="str">
        <f t="shared" si="2"/>
        <v>Electric Lizalfos Tail</v>
      </c>
    </row>
    <row r="217">
      <c r="U217" s="62" t="str">
        <f>IFERROR(__xludf.DUMMYFUNCTION("""COMPUTED_VALUE"""),"3 Blue Nightshade")</f>
        <v>3 Blue Nightshade</v>
      </c>
      <c r="V217" s="62">
        <f>IFERROR(__xludf.DUMMYFUNCTION("SPLIT(U217,"" "")"),3.0)</f>
        <v>3</v>
      </c>
      <c r="W217" s="62" t="str">
        <f>IFERROR(__xludf.DUMMYFUNCTION("""COMPUTED_VALUE"""),"Blue")</f>
        <v>Blue</v>
      </c>
      <c r="X217" s="62" t="str">
        <f>IFERROR(__xludf.DUMMYFUNCTION("""COMPUTED_VALUE"""),"Nightshade")</f>
        <v>Nightshade</v>
      </c>
      <c r="Y217" s="62"/>
      <c r="Z217" s="62"/>
      <c r="AA217" s="62"/>
      <c r="AB217" s="63"/>
      <c r="AC217" s="62" t="str">
        <f t="shared" si="2"/>
        <v>Blue Nightshade</v>
      </c>
    </row>
    <row r="218">
      <c r="U218" s="62" t="str">
        <f>IFERROR(__xludf.DUMMYFUNCTION("""COMPUTED_VALUE"""),"5 Blue Nightshade")</f>
        <v>5 Blue Nightshade</v>
      </c>
      <c r="V218" s="62">
        <f>IFERROR(__xludf.DUMMYFUNCTION("SPLIT(U218,"" "")"),5.0)</f>
        <v>5</v>
      </c>
      <c r="W218" s="62" t="str">
        <f>IFERROR(__xludf.DUMMYFUNCTION("""COMPUTED_VALUE"""),"Blue")</f>
        <v>Blue</v>
      </c>
      <c r="X218" s="62" t="str">
        <f>IFERROR(__xludf.DUMMYFUNCTION("""COMPUTED_VALUE"""),"Nightshade")</f>
        <v>Nightshade</v>
      </c>
      <c r="Y218" s="62"/>
      <c r="Z218" s="62"/>
      <c r="AA218" s="62"/>
      <c r="AB218" s="63"/>
      <c r="AC218" s="62" t="str">
        <f t="shared" si="2"/>
        <v>Blue Nightshade</v>
      </c>
    </row>
    <row r="219">
      <c r="U219" s="62" t="str">
        <f>IFERROR(__xludf.DUMMYFUNCTION("""COMPUTED_VALUE"""),"5 Sunset Firefly")</f>
        <v>5 Sunset Firefly</v>
      </c>
      <c r="V219" s="62">
        <f>IFERROR(__xludf.DUMMYFUNCTION("SPLIT(U219,"" "")"),5.0)</f>
        <v>5</v>
      </c>
      <c r="W219" s="62" t="str">
        <f>IFERROR(__xludf.DUMMYFUNCTION("""COMPUTED_VALUE"""),"Sunset")</f>
        <v>Sunset</v>
      </c>
      <c r="X219" s="62" t="str">
        <f>IFERROR(__xludf.DUMMYFUNCTION("""COMPUTED_VALUE"""),"Firefly")</f>
        <v>Firefly</v>
      </c>
      <c r="Y219" s="62"/>
      <c r="Z219" s="62"/>
      <c r="AA219" s="62"/>
      <c r="AB219" s="63"/>
      <c r="AC219" s="62" t="str">
        <f t="shared" si="2"/>
        <v>Sunset Firefly</v>
      </c>
    </row>
    <row r="220">
      <c r="U220" s="62" t="str">
        <f>IFERROR(__xludf.DUMMYFUNCTION("""COMPUTED_VALUE"""),"8 Silent Shroom")</f>
        <v>8 Silent Shroom</v>
      </c>
      <c r="V220" s="62">
        <f>IFERROR(__xludf.DUMMYFUNCTION("SPLIT(U220,"" "")"),8.0)</f>
        <v>8</v>
      </c>
      <c r="W220" s="62" t="str">
        <f>IFERROR(__xludf.DUMMYFUNCTION("""COMPUTED_VALUE"""),"Silent")</f>
        <v>Silent</v>
      </c>
      <c r="X220" s="62" t="str">
        <f>IFERROR(__xludf.DUMMYFUNCTION("""COMPUTED_VALUE"""),"Shroom")</f>
        <v>Shroom</v>
      </c>
      <c r="Y220" s="62"/>
      <c r="Z220" s="62"/>
      <c r="AA220" s="62"/>
      <c r="AB220" s="63"/>
      <c r="AC220" s="62" t="str">
        <f t="shared" si="2"/>
        <v>Silent Shroom</v>
      </c>
    </row>
    <row r="221">
      <c r="U221" s="62" t="str">
        <f>IFERROR(__xludf.DUMMYFUNCTION("""COMPUTED_VALUE"""),"5 Sneaky River Snail")</f>
        <v>5 Sneaky River Snail</v>
      </c>
      <c r="V221" s="62">
        <f>IFERROR(__xludf.DUMMYFUNCTION("SPLIT(U221,"" "")"),5.0)</f>
        <v>5</v>
      </c>
      <c r="W221" s="62" t="str">
        <f>IFERROR(__xludf.DUMMYFUNCTION("""COMPUTED_VALUE"""),"Sneaky")</f>
        <v>Sneaky</v>
      </c>
      <c r="X221" s="62" t="str">
        <f>IFERROR(__xludf.DUMMYFUNCTION("""COMPUTED_VALUE"""),"River")</f>
        <v>River</v>
      </c>
      <c r="Y221" s="62" t="str">
        <f>IFERROR(__xludf.DUMMYFUNCTION("""COMPUTED_VALUE"""),"Snail")</f>
        <v>Snail</v>
      </c>
      <c r="Z221" s="62"/>
      <c r="AA221" s="62"/>
      <c r="AB221" s="63"/>
      <c r="AC221" s="62" t="str">
        <f t="shared" si="2"/>
        <v>Sneaky River Snail</v>
      </c>
    </row>
    <row r="222">
      <c r="U222" s="62" t="str">
        <f>IFERROR(__xludf.DUMMYFUNCTION("""COMPUTED_VALUE"""),"5 Sticky Frog")</f>
        <v>5 Sticky Frog</v>
      </c>
      <c r="V222" s="62">
        <f>IFERROR(__xludf.DUMMYFUNCTION("SPLIT(U222,"" "")"),5.0)</f>
        <v>5</v>
      </c>
      <c r="W222" s="62" t="str">
        <f>IFERROR(__xludf.DUMMYFUNCTION("""COMPUTED_VALUE"""),"Sticky")</f>
        <v>Sticky</v>
      </c>
      <c r="X222" s="62" t="str">
        <f>IFERROR(__xludf.DUMMYFUNCTION("""COMPUTED_VALUE"""),"Frog")</f>
        <v>Frog</v>
      </c>
      <c r="Y222" s="62"/>
      <c r="Z222" s="62"/>
      <c r="AA222" s="62"/>
      <c r="AB222" s="63"/>
      <c r="AC222" s="62" t="str">
        <f t="shared" si="2"/>
        <v>Sticky Frog</v>
      </c>
    </row>
    <row r="223">
      <c r="U223" s="62" t="str">
        <f>IFERROR(__xludf.DUMMYFUNCTION("""COMPUTED_VALUE"""),"10 Stealthfin Trout")</f>
        <v>10 Stealthfin Trout</v>
      </c>
      <c r="V223" s="62">
        <f>IFERROR(__xludf.DUMMYFUNCTION("SPLIT(U223,"" "")"),10.0)</f>
        <v>10</v>
      </c>
      <c r="W223" s="62" t="str">
        <f>IFERROR(__xludf.DUMMYFUNCTION("""COMPUTED_VALUE"""),"Stealthfin")</f>
        <v>Stealthfin</v>
      </c>
      <c r="X223" s="62" t="str">
        <f>IFERROR(__xludf.DUMMYFUNCTION("""COMPUTED_VALUE"""),"Trout")</f>
        <v>Trout</v>
      </c>
      <c r="Y223" s="62"/>
      <c r="Z223" s="62"/>
      <c r="AA223" s="62"/>
      <c r="AB223" s="63"/>
      <c r="AC223" s="62" t="str">
        <f t="shared" si="2"/>
        <v>Stealthfin Trout</v>
      </c>
    </row>
    <row r="224">
      <c r="U224" s="62" t="str">
        <f>IFERROR(__xludf.DUMMYFUNCTION("""COMPUTED_VALUE"""),"5 Silent Princess")</f>
        <v>5 Silent Princess</v>
      </c>
      <c r="V224" s="62">
        <f>IFERROR(__xludf.DUMMYFUNCTION("SPLIT(U224,"" "")"),5.0)</f>
        <v>5</v>
      </c>
      <c r="W224" s="62" t="str">
        <f>IFERROR(__xludf.DUMMYFUNCTION("""COMPUTED_VALUE"""),"Silent")</f>
        <v>Silent</v>
      </c>
      <c r="X224" s="62" t="str">
        <f>IFERROR(__xludf.DUMMYFUNCTION("""COMPUTED_VALUE"""),"Princess")</f>
        <v>Princess</v>
      </c>
      <c r="Y224" s="62"/>
      <c r="Z224" s="62"/>
      <c r="AA224" s="62"/>
      <c r="AB224" s="63"/>
      <c r="AC224" s="62" t="str">
        <f t="shared" si="2"/>
        <v>Silent Princess</v>
      </c>
    </row>
    <row r="225">
      <c r="U225" s="62" t="str">
        <f>IFERROR(__xludf.DUMMYFUNCTION("""COMPUTED_VALUE"""),"10 Sundelion")</f>
        <v>10 Sundelion</v>
      </c>
      <c r="V225" s="62">
        <f>IFERROR(__xludf.DUMMYFUNCTION("SPLIT(U225,"" "")"),10.0)</f>
        <v>10</v>
      </c>
      <c r="W225" s="62" t="str">
        <f>IFERROR(__xludf.DUMMYFUNCTION("""COMPUTED_VALUE"""),"Sundelion")</f>
        <v>Sundelion</v>
      </c>
      <c r="X225" s="62"/>
      <c r="Y225" s="62"/>
      <c r="Z225" s="62"/>
      <c r="AA225" s="62"/>
      <c r="AB225" s="63"/>
      <c r="AC225" s="62" t="str">
        <f t="shared" si="2"/>
        <v>Sundelion</v>
      </c>
    </row>
    <row r="226">
      <c r="U226" s="62" t="str">
        <f>IFERROR(__xludf.DUMMYFUNCTION("""COMPUTED_VALUE"""),"3 Blue Nightshade")</f>
        <v>3 Blue Nightshade</v>
      </c>
      <c r="V226" s="62">
        <f>IFERROR(__xludf.DUMMYFUNCTION("SPLIT(U226,"" "")"),3.0)</f>
        <v>3</v>
      </c>
      <c r="W226" s="62" t="str">
        <f>IFERROR(__xludf.DUMMYFUNCTION("""COMPUTED_VALUE"""),"Blue")</f>
        <v>Blue</v>
      </c>
      <c r="X226" s="62" t="str">
        <f>IFERROR(__xludf.DUMMYFUNCTION("""COMPUTED_VALUE"""),"Nightshade")</f>
        <v>Nightshade</v>
      </c>
      <c r="Y226" s="62"/>
      <c r="Z226" s="62"/>
      <c r="AA226" s="62"/>
      <c r="AB226" s="63"/>
      <c r="AC226" s="62" t="str">
        <f t="shared" si="2"/>
        <v>Blue Nightshade</v>
      </c>
    </row>
    <row r="227">
      <c r="U227" s="62" t="str">
        <f>IFERROR(__xludf.DUMMYFUNCTION("""COMPUTED_VALUE"""),"5 Blue Nightshade")</f>
        <v>5 Blue Nightshade</v>
      </c>
      <c r="V227" s="62">
        <f>IFERROR(__xludf.DUMMYFUNCTION("SPLIT(U227,"" "")"),5.0)</f>
        <v>5</v>
      </c>
      <c r="W227" s="62" t="str">
        <f>IFERROR(__xludf.DUMMYFUNCTION("""COMPUTED_VALUE"""),"Blue")</f>
        <v>Blue</v>
      </c>
      <c r="X227" s="62" t="str">
        <f>IFERROR(__xludf.DUMMYFUNCTION("""COMPUTED_VALUE"""),"Nightshade")</f>
        <v>Nightshade</v>
      </c>
      <c r="Y227" s="62"/>
      <c r="Z227" s="62"/>
      <c r="AA227" s="62"/>
      <c r="AB227" s="63"/>
      <c r="AC227" s="62" t="str">
        <f t="shared" si="2"/>
        <v>Blue Nightshade</v>
      </c>
    </row>
    <row r="228">
      <c r="U228" s="62" t="str">
        <f>IFERROR(__xludf.DUMMYFUNCTION("""COMPUTED_VALUE"""),"5 Sunset Firefly")</f>
        <v>5 Sunset Firefly</v>
      </c>
      <c r="V228" s="62">
        <f>IFERROR(__xludf.DUMMYFUNCTION("SPLIT(U228,"" "")"),5.0)</f>
        <v>5</v>
      </c>
      <c r="W228" s="62" t="str">
        <f>IFERROR(__xludf.DUMMYFUNCTION("""COMPUTED_VALUE"""),"Sunset")</f>
        <v>Sunset</v>
      </c>
      <c r="X228" s="62" t="str">
        <f>IFERROR(__xludf.DUMMYFUNCTION("""COMPUTED_VALUE"""),"Firefly")</f>
        <v>Firefly</v>
      </c>
      <c r="Y228" s="62"/>
      <c r="Z228" s="62"/>
      <c r="AA228" s="62"/>
      <c r="AB228" s="63"/>
      <c r="AC228" s="62" t="str">
        <f t="shared" si="2"/>
        <v>Sunset Firefly</v>
      </c>
    </row>
    <row r="229">
      <c r="U229" s="62" t="str">
        <f>IFERROR(__xludf.DUMMYFUNCTION("""COMPUTED_VALUE"""),"8 Silent Shroom")</f>
        <v>8 Silent Shroom</v>
      </c>
      <c r="V229" s="62">
        <f>IFERROR(__xludf.DUMMYFUNCTION("SPLIT(U229,"" "")"),8.0)</f>
        <v>8</v>
      </c>
      <c r="W229" s="62" t="str">
        <f>IFERROR(__xludf.DUMMYFUNCTION("""COMPUTED_VALUE"""),"Silent")</f>
        <v>Silent</v>
      </c>
      <c r="X229" s="62" t="str">
        <f>IFERROR(__xludf.DUMMYFUNCTION("""COMPUTED_VALUE"""),"Shroom")</f>
        <v>Shroom</v>
      </c>
      <c r="Y229" s="62"/>
      <c r="Z229" s="62"/>
      <c r="AA229" s="62"/>
      <c r="AB229" s="63"/>
      <c r="AC229" s="62" t="str">
        <f t="shared" si="2"/>
        <v>Silent Shroom</v>
      </c>
    </row>
    <row r="230">
      <c r="U230" s="62" t="str">
        <f>IFERROR(__xludf.DUMMYFUNCTION("""COMPUTED_VALUE"""),"5 Sneaky River Snail")</f>
        <v>5 Sneaky River Snail</v>
      </c>
      <c r="V230" s="62">
        <f>IFERROR(__xludf.DUMMYFUNCTION("SPLIT(U230,"" "")"),5.0)</f>
        <v>5</v>
      </c>
      <c r="W230" s="62" t="str">
        <f>IFERROR(__xludf.DUMMYFUNCTION("""COMPUTED_VALUE"""),"Sneaky")</f>
        <v>Sneaky</v>
      </c>
      <c r="X230" s="62" t="str">
        <f>IFERROR(__xludf.DUMMYFUNCTION("""COMPUTED_VALUE"""),"River")</f>
        <v>River</v>
      </c>
      <c r="Y230" s="62" t="str">
        <f>IFERROR(__xludf.DUMMYFUNCTION("""COMPUTED_VALUE"""),"Snail")</f>
        <v>Snail</v>
      </c>
      <c r="Z230" s="62"/>
      <c r="AA230" s="62"/>
      <c r="AB230" s="63"/>
      <c r="AC230" s="62" t="str">
        <f t="shared" si="2"/>
        <v>Sneaky River Snail</v>
      </c>
    </row>
    <row r="231">
      <c r="U231" s="62" t="str">
        <f>IFERROR(__xludf.DUMMYFUNCTION("""COMPUTED_VALUE"""),"5 Sticky Frog")</f>
        <v>5 Sticky Frog</v>
      </c>
      <c r="V231" s="62">
        <f>IFERROR(__xludf.DUMMYFUNCTION("SPLIT(U231,"" "")"),5.0)</f>
        <v>5</v>
      </c>
      <c r="W231" s="62" t="str">
        <f>IFERROR(__xludf.DUMMYFUNCTION("""COMPUTED_VALUE"""),"Sticky")</f>
        <v>Sticky</v>
      </c>
      <c r="X231" s="62" t="str">
        <f>IFERROR(__xludf.DUMMYFUNCTION("""COMPUTED_VALUE"""),"Frog")</f>
        <v>Frog</v>
      </c>
      <c r="Y231" s="62"/>
      <c r="Z231" s="62"/>
      <c r="AA231" s="62"/>
      <c r="AB231" s="63"/>
      <c r="AC231" s="62" t="str">
        <f t="shared" si="2"/>
        <v>Sticky Frog</v>
      </c>
    </row>
    <row r="232">
      <c r="U232" s="62" t="str">
        <f>IFERROR(__xludf.DUMMYFUNCTION("""COMPUTED_VALUE"""),"10 Stealthfin Trout")</f>
        <v>10 Stealthfin Trout</v>
      </c>
      <c r="V232" s="62">
        <f>IFERROR(__xludf.DUMMYFUNCTION("SPLIT(U232,"" "")"),10.0)</f>
        <v>10</v>
      </c>
      <c r="W232" s="62" t="str">
        <f>IFERROR(__xludf.DUMMYFUNCTION("""COMPUTED_VALUE"""),"Stealthfin")</f>
        <v>Stealthfin</v>
      </c>
      <c r="X232" s="62" t="str">
        <f>IFERROR(__xludf.DUMMYFUNCTION("""COMPUTED_VALUE"""),"Trout")</f>
        <v>Trout</v>
      </c>
      <c r="Y232" s="62"/>
      <c r="Z232" s="62"/>
      <c r="AA232" s="62"/>
      <c r="AB232" s="63"/>
      <c r="AC232" s="62" t="str">
        <f t="shared" si="2"/>
        <v>Stealthfin Trout</v>
      </c>
    </row>
    <row r="233">
      <c r="U233" s="62" t="str">
        <f>IFERROR(__xludf.DUMMYFUNCTION("""COMPUTED_VALUE"""),"5 Silent Princess")</f>
        <v>5 Silent Princess</v>
      </c>
      <c r="V233" s="62">
        <f>IFERROR(__xludf.DUMMYFUNCTION("SPLIT(U233,"" "")"),5.0)</f>
        <v>5</v>
      </c>
      <c r="W233" s="62" t="str">
        <f>IFERROR(__xludf.DUMMYFUNCTION("""COMPUTED_VALUE"""),"Silent")</f>
        <v>Silent</v>
      </c>
      <c r="X233" s="62" t="str">
        <f>IFERROR(__xludf.DUMMYFUNCTION("""COMPUTED_VALUE"""),"Princess")</f>
        <v>Princess</v>
      </c>
      <c r="Y233" s="62"/>
      <c r="Z233" s="62"/>
      <c r="AA233" s="62"/>
      <c r="AB233" s="63"/>
      <c r="AC233" s="62" t="str">
        <f t="shared" si="2"/>
        <v>Silent Princess</v>
      </c>
    </row>
    <row r="234">
      <c r="U234" s="62" t="str">
        <f>IFERROR(__xludf.DUMMYFUNCTION("""COMPUTED_VALUE"""),"10 Sundelion")</f>
        <v>10 Sundelion</v>
      </c>
      <c r="V234" s="62">
        <f>IFERROR(__xludf.DUMMYFUNCTION("SPLIT(U234,"" "")"),10.0)</f>
        <v>10</v>
      </c>
      <c r="W234" s="62" t="str">
        <f>IFERROR(__xludf.DUMMYFUNCTION("""COMPUTED_VALUE"""),"Sundelion")</f>
        <v>Sundelion</v>
      </c>
      <c r="X234" s="62"/>
      <c r="Y234" s="62"/>
      <c r="Z234" s="62"/>
      <c r="AA234" s="62"/>
      <c r="AB234" s="63"/>
      <c r="AC234" s="62" t="str">
        <f t="shared" si="2"/>
        <v>Sundelion</v>
      </c>
    </row>
    <row r="235">
      <c r="U235" s="62" t="str">
        <f>IFERROR(__xludf.DUMMYFUNCTION("""COMPUTED_VALUE"""),"3 Blue Nightshade")</f>
        <v>3 Blue Nightshade</v>
      </c>
      <c r="V235" s="62">
        <f>IFERROR(__xludf.DUMMYFUNCTION("SPLIT(U235,"" "")"),3.0)</f>
        <v>3</v>
      </c>
      <c r="W235" s="62" t="str">
        <f>IFERROR(__xludf.DUMMYFUNCTION("""COMPUTED_VALUE"""),"Blue")</f>
        <v>Blue</v>
      </c>
      <c r="X235" s="62" t="str">
        <f>IFERROR(__xludf.DUMMYFUNCTION("""COMPUTED_VALUE"""),"Nightshade")</f>
        <v>Nightshade</v>
      </c>
      <c r="Y235" s="62"/>
      <c r="Z235" s="62"/>
      <c r="AA235" s="62"/>
      <c r="AB235" s="63"/>
      <c r="AC235" s="62" t="str">
        <f t="shared" si="2"/>
        <v>Blue Nightshade</v>
      </c>
    </row>
    <row r="236">
      <c r="U236" s="62" t="str">
        <f>IFERROR(__xludf.DUMMYFUNCTION("""COMPUTED_VALUE"""),"5 Blue Nightshade")</f>
        <v>5 Blue Nightshade</v>
      </c>
      <c r="V236" s="62">
        <f>IFERROR(__xludf.DUMMYFUNCTION("SPLIT(U236,"" "")"),5.0)</f>
        <v>5</v>
      </c>
      <c r="W236" s="62" t="str">
        <f>IFERROR(__xludf.DUMMYFUNCTION("""COMPUTED_VALUE"""),"Blue")</f>
        <v>Blue</v>
      </c>
      <c r="X236" s="62" t="str">
        <f>IFERROR(__xludf.DUMMYFUNCTION("""COMPUTED_VALUE"""),"Nightshade")</f>
        <v>Nightshade</v>
      </c>
      <c r="Y236" s="62"/>
      <c r="Z236" s="62"/>
      <c r="AA236" s="62"/>
      <c r="AB236" s="63"/>
      <c r="AC236" s="62" t="str">
        <f t="shared" si="2"/>
        <v>Blue Nightshade</v>
      </c>
    </row>
    <row r="237">
      <c r="U237" s="62" t="str">
        <f>IFERROR(__xludf.DUMMYFUNCTION("""COMPUTED_VALUE"""),"5 Sunset Firefly")</f>
        <v>5 Sunset Firefly</v>
      </c>
      <c r="V237" s="62">
        <f>IFERROR(__xludf.DUMMYFUNCTION("SPLIT(U237,"" "")"),5.0)</f>
        <v>5</v>
      </c>
      <c r="W237" s="62" t="str">
        <f>IFERROR(__xludf.DUMMYFUNCTION("""COMPUTED_VALUE"""),"Sunset")</f>
        <v>Sunset</v>
      </c>
      <c r="X237" s="62" t="str">
        <f>IFERROR(__xludf.DUMMYFUNCTION("""COMPUTED_VALUE"""),"Firefly")</f>
        <v>Firefly</v>
      </c>
      <c r="Y237" s="62"/>
      <c r="Z237" s="62"/>
      <c r="AA237" s="62"/>
      <c r="AB237" s="63"/>
      <c r="AC237" s="62" t="str">
        <f t="shared" si="2"/>
        <v>Sunset Firefly</v>
      </c>
    </row>
    <row r="238">
      <c r="U238" s="62" t="str">
        <f>IFERROR(__xludf.DUMMYFUNCTION("""COMPUTED_VALUE"""),"8 Silent Shroom")</f>
        <v>8 Silent Shroom</v>
      </c>
      <c r="V238" s="62">
        <f>IFERROR(__xludf.DUMMYFUNCTION("SPLIT(U238,"" "")"),8.0)</f>
        <v>8</v>
      </c>
      <c r="W238" s="62" t="str">
        <f>IFERROR(__xludf.DUMMYFUNCTION("""COMPUTED_VALUE"""),"Silent")</f>
        <v>Silent</v>
      </c>
      <c r="X238" s="62" t="str">
        <f>IFERROR(__xludf.DUMMYFUNCTION("""COMPUTED_VALUE"""),"Shroom")</f>
        <v>Shroom</v>
      </c>
      <c r="Y238" s="62"/>
      <c r="Z238" s="62"/>
      <c r="AA238" s="62"/>
      <c r="AB238" s="63"/>
      <c r="AC238" s="62" t="str">
        <f t="shared" si="2"/>
        <v>Silent Shroom</v>
      </c>
    </row>
    <row r="239">
      <c r="U239" s="62" t="str">
        <f>IFERROR(__xludf.DUMMYFUNCTION("""COMPUTED_VALUE"""),"5 Sneaky River Snail")</f>
        <v>5 Sneaky River Snail</v>
      </c>
      <c r="V239" s="62">
        <f>IFERROR(__xludf.DUMMYFUNCTION("SPLIT(U239,"" "")"),5.0)</f>
        <v>5</v>
      </c>
      <c r="W239" s="62" t="str">
        <f>IFERROR(__xludf.DUMMYFUNCTION("""COMPUTED_VALUE"""),"Sneaky")</f>
        <v>Sneaky</v>
      </c>
      <c r="X239" s="62" t="str">
        <f>IFERROR(__xludf.DUMMYFUNCTION("""COMPUTED_VALUE"""),"River")</f>
        <v>River</v>
      </c>
      <c r="Y239" s="62" t="str">
        <f>IFERROR(__xludf.DUMMYFUNCTION("""COMPUTED_VALUE"""),"Snail")</f>
        <v>Snail</v>
      </c>
      <c r="Z239" s="62"/>
      <c r="AA239" s="62"/>
      <c r="AB239" s="63"/>
      <c r="AC239" s="62" t="str">
        <f t="shared" si="2"/>
        <v>Sneaky River Snail</v>
      </c>
    </row>
    <row r="240">
      <c r="U240" s="62" t="str">
        <f>IFERROR(__xludf.DUMMYFUNCTION("""COMPUTED_VALUE"""),"5 Sticky Frog")</f>
        <v>5 Sticky Frog</v>
      </c>
      <c r="V240" s="62">
        <f>IFERROR(__xludf.DUMMYFUNCTION("SPLIT(U240,"" "")"),5.0)</f>
        <v>5</v>
      </c>
      <c r="W240" s="62" t="str">
        <f>IFERROR(__xludf.DUMMYFUNCTION("""COMPUTED_VALUE"""),"Sticky")</f>
        <v>Sticky</v>
      </c>
      <c r="X240" s="62" t="str">
        <f>IFERROR(__xludf.DUMMYFUNCTION("""COMPUTED_VALUE"""),"Frog")</f>
        <v>Frog</v>
      </c>
      <c r="Y240" s="62"/>
      <c r="Z240" s="62"/>
      <c r="AA240" s="62"/>
      <c r="AB240" s="63"/>
      <c r="AC240" s="62" t="str">
        <f t="shared" si="2"/>
        <v>Sticky Frog</v>
      </c>
    </row>
    <row r="241">
      <c r="U241" s="62" t="str">
        <f>IFERROR(__xludf.DUMMYFUNCTION("""COMPUTED_VALUE"""),"10 Stealthfin Trout")</f>
        <v>10 Stealthfin Trout</v>
      </c>
      <c r="V241" s="62">
        <f>IFERROR(__xludf.DUMMYFUNCTION("SPLIT(U241,"" "")"),10.0)</f>
        <v>10</v>
      </c>
      <c r="W241" s="62" t="str">
        <f>IFERROR(__xludf.DUMMYFUNCTION("""COMPUTED_VALUE"""),"Stealthfin")</f>
        <v>Stealthfin</v>
      </c>
      <c r="X241" s="62" t="str">
        <f>IFERROR(__xludf.DUMMYFUNCTION("""COMPUTED_VALUE"""),"Trout")</f>
        <v>Trout</v>
      </c>
      <c r="Y241" s="62"/>
      <c r="Z241" s="62"/>
      <c r="AA241" s="62"/>
      <c r="AB241" s="63"/>
      <c r="AC241" s="62" t="str">
        <f t="shared" si="2"/>
        <v>Stealthfin Trout</v>
      </c>
    </row>
    <row r="242">
      <c r="U242" s="62" t="str">
        <f>IFERROR(__xludf.DUMMYFUNCTION("""COMPUTED_VALUE"""),"5 Silent Princess")</f>
        <v>5 Silent Princess</v>
      </c>
      <c r="V242" s="62">
        <f>IFERROR(__xludf.DUMMYFUNCTION("SPLIT(U242,"" "")"),5.0)</f>
        <v>5</v>
      </c>
      <c r="W242" s="62" t="str">
        <f>IFERROR(__xludf.DUMMYFUNCTION("""COMPUTED_VALUE"""),"Silent")</f>
        <v>Silent</v>
      </c>
      <c r="X242" s="62" t="str">
        <f>IFERROR(__xludf.DUMMYFUNCTION("""COMPUTED_VALUE"""),"Princess")</f>
        <v>Princess</v>
      </c>
      <c r="Y242" s="62"/>
      <c r="Z242" s="62"/>
      <c r="AA242" s="62"/>
      <c r="AB242" s="63"/>
      <c r="AC242" s="62" t="str">
        <f t="shared" si="2"/>
        <v>Silent Princess</v>
      </c>
    </row>
    <row r="243">
      <c r="U243" s="62" t="str">
        <f>IFERROR(__xludf.DUMMYFUNCTION("""COMPUTED_VALUE"""),"10 Sundelion")</f>
        <v>10 Sundelion</v>
      </c>
      <c r="V243" s="62">
        <f>IFERROR(__xludf.DUMMYFUNCTION("SPLIT(U243,"" "")"),10.0)</f>
        <v>10</v>
      </c>
      <c r="W243" s="62" t="str">
        <f>IFERROR(__xludf.DUMMYFUNCTION("""COMPUTED_VALUE"""),"Sundelion")</f>
        <v>Sundelion</v>
      </c>
      <c r="X243" s="62"/>
      <c r="Y243" s="62"/>
      <c r="Z243" s="62"/>
      <c r="AA243" s="62"/>
      <c r="AB243" s="63"/>
      <c r="AC243" s="62" t="str">
        <f t="shared" si="2"/>
        <v>Sundelion</v>
      </c>
    </row>
    <row r="244">
      <c r="U244" s="62" t="str">
        <f>IFERROR(__xludf.DUMMYFUNCTION("""COMPUTED_VALUE"""),"3 Keese Wing")</f>
        <v>3 Keese Wing</v>
      </c>
      <c r="V244" s="62">
        <f>IFERROR(__xludf.DUMMYFUNCTION("SPLIT(U244,"" "")"),3.0)</f>
        <v>3</v>
      </c>
      <c r="W244" s="62" t="str">
        <f>IFERROR(__xludf.DUMMYFUNCTION("""COMPUTED_VALUE"""),"Keese")</f>
        <v>Keese</v>
      </c>
      <c r="X244" s="62" t="str">
        <f>IFERROR(__xludf.DUMMYFUNCTION("""COMPUTED_VALUE"""),"Wing")</f>
        <v>Wing</v>
      </c>
      <c r="Y244" s="62"/>
      <c r="Z244" s="62"/>
      <c r="AA244" s="62"/>
      <c r="AB244" s="63"/>
      <c r="AC244" s="62" t="str">
        <f t="shared" si="2"/>
        <v>Keese Wing</v>
      </c>
    </row>
    <row r="245">
      <c r="U245" s="62" t="str">
        <f>IFERROR(__xludf.DUMMYFUNCTION("""COMPUTED_VALUE"""),"3 Rushroom")</f>
        <v>3 Rushroom</v>
      </c>
      <c r="V245" s="62">
        <f>IFERROR(__xludf.DUMMYFUNCTION("SPLIT(U245,"" "")"),3.0)</f>
        <v>3</v>
      </c>
      <c r="W245" s="62" t="str">
        <f>IFERROR(__xludf.DUMMYFUNCTION("""COMPUTED_VALUE"""),"Rushroom")</f>
        <v>Rushroom</v>
      </c>
      <c r="X245" s="62"/>
      <c r="Y245" s="62"/>
      <c r="Z245" s="62"/>
      <c r="AA245" s="62"/>
      <c r="AB245" s="63"/>
      <c r="AC245" s="62" t="str">
        <f t="shared" si="2"/>
        <v>Rushroom</v>
      </c>
    </row>
    <row r="246">
      <c r="U246" s="62" t="str">
        <f>IFERROR(__xludf.DUMMYFUNCTION("""COMPUTED_VALUE"""),"5 Electric Keese Wing")</f>
        <v>5 Electric Keese Wing</v>
      </c>
      <c r="V246" s="62">
        <f>IFERROR(__xludf.DUMMYFUNCTION("SPLIT(U246,"" "")"),5.0)</f>
        <v>5</v>
      </c>
      <c r="W246" s="62" t="str">
        <f>IFERROR(__xludf.DUMMYFUNCTION("""COMPUTED_VALUE"""),"Electric")</f>
        <v>Electric</v>
      </c>
      <c r="X246" s="62" t="str">
        <f>IFERROR(__xludf.DUMMYFUNCTION("""COMPUTED_VALUE"""),"Keese")</f>
        <v>Keese</v>
      </c>
      <c r="Y246" s="62" t="str">
        <f>IFERROR(__xludf.DUMMYFUNCTION("""COMPUTED_VALUE"""),"Wing")</f>
        <v>Wing</v>
      </c>
      <c r="Z246" s="62"/>
      <c r="AA246" s="62"/>
      <c r="AB246" s="63"/>
      <c r="AC246" s="62" t="str">
        <f t="shared" si="2"/>
        <v>Electric Keese Wing</v>
      </c>
    </row>
    <row r="247">
      <c r="U247" s="62" t="str">
        <f>IFERROR(__xludf.DUMMYFUNCTION("""COMPUTED_VALUE"""),"5 Hightail Lizard")</f>
        <v>5 Hightail Lizard</v>
      </c>
      <c r="V247" s="62">
        <f>IFERROR(__xludf.DUMMYFUNCTION("SPLIT(U247,"" "")"),5.0)</f>
        <v>5</v>
      </c>
      <c r="W247" s="62" t="str">
        <f>IFERROR(__xludf.DUMMYFUNCTION("""COMPUTED_VALUE"""),"Hightail")</f>
        <v>Hightail</v>
      </c>
      <c r="X247" s="62" t="str">
        <f>IFERROR(__xludf.DUMMYFUNCTION("""COMPUTED_VALUE"""),"Lizard")</f>
        <v>Lizard</v>
      </c>
      <c r="Y247" s="62"/>
      <c r="Z247" s="62"/>
      <c r="AA247" s="62"/>
      <c r="AB247" s="63"/>
      <c r="AC247" s="62" t="str">
        <f t="shared" si="2"/>
        <v>Hightail Lizard</v>
      </c>
    </row>
    <row r="248">
      <c r="U248" s="62" t="str">
        <f>IFERROR(__xludf.DUMMYFUNCTION("""COMPUTED_VALUE"""),"8 Ice Keese Wing")</f>
        <v>8 Ice Keese Wing</v>
      </c>
      <c r="V248" s="62">
        <f>IFERROR(__xludf.DUMMYFUNCTION("SPLIT(U248,"" "")"),8.0)</f>
        <v>8</v>
      </c>
      <c r="W248" s="62" t="str">
        <f>IFERROR(__xludf.DUMMYFUNCTION("""COMPUTED_VALUE"""),"Ice")</f>
        <v>Ice</v>
      </c>
      <c r="X248" s="62" t="str">
        <f>IFERROR(__xludf.DUMMYFUNCTION("""COMPUTED_VALUE"""),"Keese")</f>
        <v>Keese</v>
      </c>
      <c r="Y248" s="62" t="str">
        <f>IFERROR(__xludf.DUMMYFUNCTION("""COMPUTED_VALUE"""),"Wing")</f>
        <v>Wing</v>
      </c>
      <c r="Z248" s="62"/>
      <c r="AA248" s="62"/>
      <c r="AB248" s="63"/>
      <c r="AC248" s="62" t="str">
        <f t="shared" si="2"/>
        <v>Ice Keese Wing</v>
      </c>
    </row>
    <row r="249">
      <c r="U249" s="62" t="str">
        <f>IFERROR(__xludf.DUMMYFUNCTION("""COMPUTED_VALUE"""),"10 Hot-Footed Frog")</f>
        <v>10 Hot-Footed Frog</v>
      </c>
      <c r="V249" s="62">
        <f>IFERROR(__xludf.DUMMYFUNCTION("SPLIT(U249,"" "")"),10.0)</f>
        <v>10</v>
      </c>
      <c r="W249" s="62" t="str">
        <f>IFERROR(__xludf.DUMMYFUNCTION("""COMPUTED_VALUE"""),"Hot-Footed")</f>
        <v>Hot-Footed</v>
      </c>
      <c r="X249" s="62" t="str">
        <f>IFERROR(__xludf.DUMMYFUNCTION("""COMPUTED_VALUE"""),"Frog")</f>
        <v>Frog</v>
      </c>
      <c r="Y249" s="62"/>
      <c r="Z249" s="62"/>
      <c r="AA249" s="62"/>
      <c r="AB249" s="63"/>
      <c r="AC249" s="62" t="str">
        <f t="shared" si="2"/>
        <v>Hot-Footed Frog</v>
      </c>
    </row>
    <row r="250">
      <c r="U250" s="62" t="str">
        <f>IFERROR(__xludf.DUMMYFUNCTION("""COMPUTED_VALUE"""),"10 Fire Keese Wing")</f>
        <v>10 Fire Keese Wing</v>
      </c>
      <c r="V250" s="62">
        <f>IFERROR(__xludf.DUMMYFUNCTION("SPLIT(U250,"" "")"),10.0)</f>
        <v>10</v>
      </c>
      <c r="W250" s="62" t="str">
        <f>IFERROR(__xludf.DUMMYFUNCTION("""COMPUTED_VALUE"""),"Fire")</f>
        <v>Fire</v>
      </c>
      <c r="X250" s="62" t="str">
        <f>IFERROR(__xludf.DUMMYFUNCTION("""COMPUTED_VALUE"""),"Keese")</f>
        <v>Keese</v>
      </c>
      <c r="Y250" s="62" t="str">
        <f>IFERROR(__xludf.DUMMYFUNCTION("""COMPUTED_VALUE"""),"Wing")</f>
        <v>Wing</v>
      </c>
      <c r="Z250" s="62"/>
      <c r="AA250" s="62"/>
      <c r="AB250" s="63"/>
      <c r="AC250" s="62" t="str">
        <f t="shared" si="2"/>
        <v>Fire Keese Wing</v>
      </c>
    </row>
    <row r="251">
      <c r="U251" s="62" t="str">
        <f>IFERROR(__xludf.DUMMYFUNCTION("""COMPUTED_VALUE"""),"20 Swift Violet")</f>
        <v>20 Swift Violet</v>
      </c>
      <c r="V251" s="62">
        <f>IFERROR(__xludf.DUMMYFUNCTION("SPLIT(U251,"" "")"),20.0)</f>
        <v>20</v>
      </c>
      <c r="W251" s="62" t="str">
        <f>IFERROR(__xludf.DUMMYFUNCTION("""COMPUTED_VALUE"""),"Swift")</f>
        <v>Swift</v>
      </c>
      <c r="X251" s="62" t="str">
        <f>IFERROR(__xludf.DUMMYFUNCTION("""COMPUTED_VALUE"""),"Violet")</f>
        <v>Violet</v>
      </c>
      <c r="Y251" s="62"/>
      <c r="Z251" s="62"/>
      <c r="AA251" s="62"/>
      <c r="AB251" s="63"/>
      <c r="AC251" s="62" t="str">
        <f t="shared" si="2"/>
        <v>Swift Violet</v>
      </c>
    </row>
    <row r="252">
      <c r="U252" s="62" t="str">
        <f>IFERROR(__xludf.DUMMYFUNCTION("""COMPUTED_VALUE"""),"3 Keese Wing")</f>
        <v>3 Keese Wing</v>
      </c>
      <c r="V252" s="62">
        <f>IFERROR(__xludf.DUMMYFUNCTION("SPLIT(U252,"" "")"),3.0)</f>
        <v>3</v>
      </c>
      <c r="W252" s="62" t="str">
        <f>IFERROR(__xludf.DUMMYFUNCTION("""COMPUTED_VALUE"""),"Keese")</f>
        <v>Keese</v>
      </c>
      <c r="X252" s="62" t="str">
        <f>IFERROR(__xludf.DUMMYFUNCTION("""COMPUTED_VALUE"""),"Wing")</f>
        <v>Wing</v>
      </c>
      <c r="Y252" s="62"/>
      <c r="Z252" s="62"/>
      <c r="AA252" s="62"/>
      <c r="AB252" s="63"/>
      <c r="AC252" s="62" t="str">
        <f t="shared" si="2"/>
        <v>Keese Wing</v>
      </c>
    </row>
    <row r="253">
      <c r="U253" s="62" t="str">
        <f>IFERROR(__xludf.DUMMYFUNCTION("""COMPUTED_VALUE"""),"3 Rushroom")</f>
        <v>3 Rushroom</v>
      </c>
      <c r="V253" s="62">
        <f>IFERROR(__xludf.DUMMYFUNCTION("SPLIT(U253,"" "")"),3.0)</f>
        <v>3</v>
      </c>
      <c r="W253" s="62" t="str">
        <f>IFERROR(__xludf.DUMMYFUNCTION("""COMPUTED_VALUE"""),"Rushroom")</f>
        <v>Rushroom</v>
      </c>
      <c r="X253" s="62"/>
      <c r="Y253" s="62"/>
      <c r="Z253" s="62"/>
      <c r="AA253" s="62"/>
      <c r="AB253" s="63"/>
      <c r="AC253" s="62" t="str">
        <f t="shared" si="2"/>
        <v>Rushroom</v>
      </c>
    </row>
    <row r="254">
      <c r="U254" s="62" t="str">
        <f>IFERROR(__xludf.DUMMYFUNCTION("""COMPUTED_VALUE"""),"5 Electric Keese Wing")</f>
        <v>5 Electric Keese Wing</v>
      </c>
      <c r="V254" s="62">
        <f>IFERROR(__xludf.DUMMYFUNCTION("SPLIT(U254,"" "")"),5.0)</f>
        <v>5</v>
      </c>
      <c r="W254" s="62" t="str">
        <f>IFERROR(__xludf.DUMMYFUNCTION("""COMPUTED_VALUE"""),"Electric")</f>
        <v>Electric</v>
      </c>
      <c r="X254" s="62" t="str">
        <f>IFERROR(__xludf.DUMMYFUNCTION("""COMPUTED_VALUE"""),"Keese")</f>
        <v>Keese</v>
      </c>
      <c r="Y254" s="62" t="str">
        <f>IFERROR(__xludf.DUMMYFUNCTION("""COMPUTED_VALUE"""),"Wing")</f>
        <v>Wing</v>
      </c>
      <c r="Z254" s="62"/>
      <c r="AA254" s="62"/>
      <c r="AB254" s="63"/>
      <c r="AC254" s="62" t="str">
        <f t="shared" si="2"/>
        <v>Electric Keese Wing</v>
      </c>
    </row>
    <row r="255">
      <c r="U255" s="62" t="str">
        <f>IFERROR(__xludf.DUMMYFUNCTION("""COMPUTED_VALUE"""),"5 Hightail Lizard")</f>
        <v>5 Hightail Lizard</v>
      </c>
      <c r="V255" s="62">
        <f>IFERROR(__xludf.DUMMYFUNCTION("SPLIT(U255,"" "")"),5.0)</f>
        <v>5</v>
      </c>
      <c r="W255" s="62" t="str">
        <f>IFERROR(__xludf.DUMMYFUNCTION("""COMPUTED_VALUE"""),"Hightail")</f>
        <v>Hightail</v>
      </c>
      <c r="X255" s="62" t="str">
        <f>IFERROR(__xludf.DUMMYFUNCTION("""COMPUTED_VALUE"""),"Lizard")</f>
        <v>Lizard</v>
      </c>
      <c r="Y255" s="62"/>
      <c r="Z255" s="62"/>
      <c r="AA255" s="62"/>
      <c r="AB255" s="63"/>
      <c r="AC255" s="62" t="str">
        <f t="shared" si="2"/>
        <v>Hightail Lizard</v>
      </c>
    </row>
    <row r="256">
      <c r="U256" s="62" t="str">
        <f>IFERROR(__xludf.DUMMYFUNCTION("""COMPUTED_VALUE"""),"8 Ice Keese Wing")</f>
        <v>8 Ice Keese Wing</v>
      </c>
      <c r="V256" s="62">
        <f>IFERROR(__xludf.DUMMYFUNCTION("SPLIT(U256,"" "")"),8.0)</f>
        <v>8</v>
      </c>
      <c r="W256" s="62" t="str">
        <f>IFERROR(__xludf.DUMMYFUNCTION("""COMPUTED_VALUE"""),"Ice")</f>
        <v>Ice</v>
      </c>
      <c r="X256" s="62" t="str">
        <f>IFERROR(__xludf.DUMMYFUNCTION("""COMPUTED_VALUE"""),"Keese")</f>
        <v>Keese</v>
      </c>
      <c r="Y256" s="62" t="str">
        <f>IFERROR(__xludf.DUMMYFUNCTION("""COMPUTED_VALUE"""),"Wing")</f>
        <v>Wing</v>
      </c>
      <c r="Z256" s="62"/>
      <c r="AA256" s="62"/>
      <c r="AB256" s="63"/>
      <c r="AC256" s="62" t="str">
        <f t="shared" si="2"/>
        <v>Ice Keese Wing</v>
      </c>
    </row>
    <row r="257">
      <c r="U257" s="62" t="str">
        <f>IFERROR(__xludf.DUMMYFUNCTION("""COMPUTED_VALUE"""),"10 Hot-Footed Frog")</f>
        <v>10 Hot-Footed Frog</v>
      </c>
      <c r="V257" s="62">
        <f>IFERROR(__xludf.DUMMYFUNCTION("SPLIT(U257,"" "")"),10.0)</f>
        <v>10</v>
      </c>
      <c r="W257" s="62" t="str">
        <f>IFERROR(__xludf.DUMMYFUNCTION("""COMPUTED_VALUE"""),"Hot-Footed")</f>
        <v>Hot-Footed</v>
      </c>
      <c r="X257" s="62" t="str">
        <f>IFERROR(__xludf.DUMMYFUNCTION("""COMPUTED_VALUE"""),"Frog")</f>
        <v>Frog</v>
      </c>
      <c r="Y257" s="62"/>
      <c r="Z257" s="62"/>
      <c r="AA257" s="62"/>
      <c r="AB257" s="63"/>
      <c r="AC257" s="62" t="str">
        <f t="shared" si="2"/>
        <v>Hot-Footed Frog</v>
      </c>
    </row>
    <row r="258">
      <c r="U258" s="62" t="str">
        <f>IFERROR(__xludf.DUMMYFUNCTION("""COMPUTED_VALUE"""),"10 Fire Keese Wing")</f>
        <v>10 Fire Keese Wing</v>
      </c>
      <c r="V258" s="62">
        <f>IFERROR(__xludf.DUMMYFUNCTION("SPLIT(U258,"" "")"),10.0)</f>
        <v>10</v>
      </c>
      <c r="W258" s="62" t="str">
        <f>IFERROR(__xludf.DUMMYFUNCTION("""COMPUTED_VALUE"""),"Fire")</f>
        <v>Fire</v>
      </c>
      <c r="X258" s="62" t="str">
        <f>IFERROR(__xludf.DUMMYFUNCTION("""COMPUTED_VALUE"""),"Keese")</f>
        <v>Keese</v>
      </c>
      <c r="Y258" s="62" t="str">
        <f>IFERROR(__xludf.DUMMYFUNCTION("""COMPUTED_VALUE"""),"Wing")</f>
        <v>Wing</v>
      </c>
      <c r="Z258" s="62"/>
      <c r="AA258" s="62"/>
      <c r="AB258" s="63"/>
      <c r="AC258" s="62" t="str">
        <f t="shared" si="2"/>
        <v>Fire Keese Wing</v>
      </c>
    </row>
    <row r="259">
      <c r="U259" s="62" t="str">
        <f>IFERROR(__xludf.DUMMYFUNCTION("""COMPUTED_VALUE"""),"20 Swift Violet")</f>
        <v>20 Swift Violet</v>
      </c>
      <c r="V259" s="62">
        <f>IFERROR(__xludf.DUMMYFUNCTION("SPLIT(U259,"" "")"),20.0)</f>
        <v>20</v>
      </c>
      <c r="W259" s="62" t="str">
        <f>IFERROR(__xludf.DUMMYFUNCTION("""COMPUTED_VALUE"""),"Swift")</f>
        <v>Swift</v>
      </c>
      <c r="X259" s="62" t="str">
        <f>IFERROR(__xludf.DUMMYFUNCTION("""COMPUTED_VALUE"""),"Violet")</f>
        <v>Violet</v>
      </c>
      <c r="Y259" s="62"/>
      <c r="Z259" s="62"/>
      <c r="AA259" s="62"/>
      <c r="AB259" s="63"/>
      <c r="AC259" s="62" t="str">
        <f t="shared" si="2"/>
        <v>Swift Violet</v>
      </c>
    </row>
    <row r="260">
      <c r="U260" s="62" t="str">
        <f>IFERROR(__xludf.DUMMYFUNCTION("""COMPUTED_VALUE"""),"3 Keese Wing")</f>
        <v>3 Keese Wing</v>
      </c>
      <c r="V260" s="62">
        <f>IFERROR(__xludf.DUMMYFUNCTION("SPLIT(U260,"" "")"),3.0)</f>
        <v>3</v>
      </c>
      <c r="W260" s="62" t="str">
        <f>IFERROR(__xludf.DUMMYFUNCTION("""COMPUTED_VALUE"""),"Keese")</f>
        <v>Keese</v>
      </c>
      <c r="X260" s="62" t="str">
        <f>IFERROR(__xludf.DUMMYFUNCTION("""COMPUTED_VALUE"""),"Wing")</f>
        <v>Wing</v>
      </c>
      <c r="Y260" s="62"/>
      <c r="Z260" s="62"/>
      <c r="AA260" s="62"/>
      <c r="AB260" s="63"/>
      <c r="AC260" s="62" t="str">
        <f t="shared" si="2"/>
        <v>Keese Wing</v>
      </c>
    </row>
    <row r="261">
      <c r="U261" s="62" t="str">
        <f>IFERROR(__xludf.DUMMYFUNCTION("""COMPUTED_VALUE"""),"3 Rushroom")</f>
        <v>3 Rushroom</v>
      </c>
      <c r="V261" s="62">
        <f>IFERROR(__xludf.DUMMYFUNCTION("SPLIT(U261,"" "")"),3.0)</f>
        <v>3</v>
      </c>
      <c r="W261" s="62" t="str">
        <f>IFERROR(__xludf.DUMMYFUNCTION("""COMPUTED_VALUE"""),"Rushroom")</f>
        <v>Rushroom</v>
      </c>
      <c r="X261" s="62"/>
      <c r="Y261" s="62"/>
      <c r="Z261" s="62"/>
      <c r="AA261" s="62"/>
      <c r="AB261" s="63"/>
      <c r="AC261" s="62" t="str">
        <f t="shared" si="2"/>
        <v>Rushroom</v>
      </c>
    </row>
    <row r="262">
      <c r="U262" s="62" t="str">
        <f>IFERROR(__xludf.DUMMYFUNCTION("""COMPUTED_VALUE"""),"5 Electric Keese Wing")</f>
        <v>5 Electric Keese Wing</v>
      </c>
      <c r="V262" s="62">
        <f>IFERROR(__xludf.DUMMYFUNCTION("SPLIT(U262,"" "")"),5.0)</f>
        <v>5</v>
      </c>
      <c r="W262" s="62" t="str">
        <f>IFERROR(__xludf.DUMMYFUNCTION("""COMPUTED_VALUE"""),"Electric")</f>
        <v>Electric</v>
      </c>
      <c r="X262" s="62" t="str">
        <f>IFERROR(__xludf.DUMMYFUNCTION("""COMPUTED_VALUE"""),"Keese")</f>
        <v>Keese</v>
      </c>
      <c r="Y262" s="62" t="str">
        <f>IFERROR(__xludf.DUMMYFUNCTION("""COMPUTED_VALUE"""),"Wing")</f>
        <v>Wing</v>
      </c>
      <c r="Z262" s="62"/>
      <c r="AA262" s="62"/>
      <c r="AB262" s="63"/>
      <c r="AC262" s="62" t="str">
        <f t="shared" si="2"/>
        <v>Electric Keese Wing</v>
      </c>
    </row>
    <row r="263">
      <c r="U263" s="62" t="str">
        <f>IFERROR(__xludf.DUMMYFUNCTION("""COMPUTED_VALUE"""),"5 Hightail Lizard")</f>
        <v>5 Hightail Lizard</v>
      </c>
      <c r="V263" s="62">
        <f>IFERROR(__xludf.DUMMYFUNCTION("SPLIT(U263,"" "")"),5.0)</f>
        <v>5</v>
      </c>
      <c r="W263" s="62" t="str">
        <f>IFERROR(__xludf.DUMMYFUNCTION("""COMPUTED_VALUE"""),"Hightail")</f>
        <v>Hightail</v>
      </c>
      <c r="X263" s="62" t="str">
        <f>IFERROR(__xludf.DUMMYFUNCTION("""COMPUTED_VALUE"""),"Lizard")</f>
        <v>Lizard</v>
      </c>
      <c r="Y263" s="62"/>
      <c r="Z263" s="62"/>
      <c r="AA263" s="62"/>
      <c r="AB263" s="63"/>
      <c r="AC263" s="62" t="str">
        <f t="shared" si="2"/>
        <v>Hightail Lizard</v>
      </c>
    </row>
    <row r="264">
      <c r="U264" s="62" t="str">
        <f>IFERROR(__xludf.DUMMYFUNCTION("""COMPUTED_VALUE"""),"8 Ice Keese Wing")</f>
        <v>8 Ice Keese Wing</v>
      </c>
      <c r="V264" s="62">
        <f>IFERROR(__xludf.DUMMYFUNCTION("SPLIT(U264,"" "")"),8.0)</f>
        <v>8</v>
      </c>
      <c r="W264" s="62" t="str">
        <f>IFERROR(__xludf.DUMMYFUNCTION("""COMPUTED_VALUE"""),"Ice")</f>
        <v>Ice</v>
      </c>
      <c r="X264" s="62" t="str">
        <f>IFERROR(__xludf.DUMMYFUNCTION("""COMPUTED_VALUE"""),"Keese")</f>
        <v>Keese</v>
      </c>
      <c r="Y264" s="62" t="str">
        <f>IFERROR(__xludf.DUMMYFUNCTION("""COMPUTED_VALUE"""),"Wing")</f>
        <v>Wing</v>
      </c>
      <c r="Z264" s="62"/>
      <c r="AA264" s="62"/>
      <c r="AB264" s="63"/>
      <c r="AC264" s="62" t="str">
        <f t="shared" si="2"/>
        <v>Ice Keese Wing</v>
      </c>
    </row>
    <row r="265">
      <c r="U265" s="62" t="str">
        <f>IFERROR(__xludf.DUMMYFUNCTION("""COMPUTED_VALUE"""),"10 Hot-Footed Frog")</f>
        <v>10 Hot-Footed Frog</v>
      </c>
      <c r="V265" s="62">
        <f>IFERROR(__xludf.DUMMYFUNCTION("SPLIT(U265,"" "")"),10.0)</f>
        <v>10</v>
      </c>
      <c r="W265" s="62" t="str">
        <f>IFERROR(__xludf.DUMMYFUNCTION("""COMPUTED_VALUE"""),"Hot-Footed")</f>
        <v>Hot-Footed</v>
      </c>
      <c r="X265" s="62" t="str">
        <f>IFERROR(__xludf.DUMMYFUNCTION("""COMPUTED_VALUE"""),"Frog")</f>
        <v>Frog</v>
      </c>
      <c r="Y265" s="62"/>
      <c r="Z265" s="62"/>
      <c r="AA265" s="62"/>
      <c r="AB265" s="63"/>
      <c r="AC265" s="62" t="str">
        <f t="shared" si="2"/>
        <v>Hot-Footed Frog</v>
      </c>
    </row>
    <row r="266">
      <c r="U266" s="62" t="str">
        <f>IFERROR(__xludf.DUMMYFUNCTION("""COMPUTED_VALUE"""),"10 Fire Keese Wing")</f>
        <v>10 Fire Keese Wing</v>
      </c>
      <c r="V266" s="62">
        <f>IFERROR(__xludf.DUMMYFUNCTION("SPLIT(U266,"" "")"),10.0)</f>
        <v>10</v>
      </c>
      <c r="W266" s="62" t="str">
        <f>IFERROR(__xludf.DUMMYFUNCTION("""COMPUTED_VALUE"""),"Fire")</f>
        <v>Fire</v>
      </c>
      <c r="X266" s="62" t="str">
        <f>IFERROR(__xludf.DUMMYFUNCTION("""COMPUTED_VALUE"""),"Keese")</f>
        <v>Keese</v>
      </c>
      <c r="Y266" s="62" t="str">
        <f>IFERROR(__xludf.DUMMYFUNCTION("""COMPUTED_VALUE"""),"Wing")</f>
        <v>Wing</v>
      </c>
      <c r="Z266" s="62"/>
      <c r="AA266" s="62"/>
      <c r="AB266" s="63"/>
      <c r="AC266" s="62" t="str">
        <f t="shared" si="2"/>
        <v>Fire Keese Wing</v>
      </c>
    </row>
    <row r="267">
      <c r="U267" s="62" t="str">
        <f>IFERROR(__xludf.DUMMYFUNCTION("""COMPUTED_VALUE"""),"20 Swift Violet")</f>
        <v>20 Swift Violet</v>
      </c>
      <c r="V267" s="62">
        <f>IFERROR(__xludf.DUMMYFUNCTION("SPLIT(U267,"" "")"),20.0)</f>
        <v>20</v>
      </c>
      <c r="W267" s="62" t="str">
        <f>IFERROR(__xludf.DUMMYFUNCTION("""COMPUTED_VALUE"""),"Swift")</f>
        <v>Swift</v>
      </c>
      <c r="X267" s="62" t="str">
        <f>IFERROR(__xludf.DUMMYFUNCTION("""COMPUTED_VALUE"""),"Violet")</f>
        <v>Violet</v>
      </c>
      <c r="Y267" s="62"/>
      <c r="Z267" s="62"/>
      <c r="AA267" s="62"/>
      <c r="AB267" s="63"/>
      <c r="AC267" s="62" t="str">
        <f t="shared" si="2"/>
        <v>Swift Violet</v>
      </c>
    </row>
    <row r="268">
      <c r="U268" s="62" t="str">
        <f>IFERROR(__xludf.DUMMYFUNCTION("""COMPUTED_VALUE"""),"3 Mighty Thistle")</f>
        <v>3 Mighty Thistle</v>
      </c>
      <c r="V268" s="62">
        <f>IFERROR(__xludf.DUMMYFUNCTION("SPLIT(U268,"" "")"),3.0)</f>
        <v>3</v>
      </c>
      <c r="W268" s="62" t="str">
        <f>IFERROR(__xludf.DUMMYFUNCTION("""COMPUTED_VALUE"""),"Mighty")</f>
        <v>Mighty</v>
      </c>
      <c r="X268" s="62" t="str">
        <f>IFERROR(__xludf.DUMMYFUNCTION("""COMPUTED_VALUE"""),"Thistle")</f>
        <v>Thistle</v>
      </c>
      <c r="Y268" s="62"/>
      <c r="Z268" s="62"/>
      <c r="AA268" s="62"/>
      <c r="AB268" s="63"/>
      <c r="AC268" s="62" t="str">
        <f t="shared" si="2"/>
        <v>Mighty Thistle</v>
      </c>
    </row>
    <row r="269">
      <c r="U269" s="62" t="str">
        <f>IFERROR(__xludf.DUMMYFUNCTION("""COMPUTED_VALUE"""),"2 Lynel Saber Horn")</f>
        <v>2 Lynel Saber Horn</v>
      </c>
      <c r="V269" s="62">
        <f>IFERROR(__xludf.DUMMYFUNCTION("SPLIT(U269,"" "")"),2.0)</f>
        <v>2</v>
      </c>
      <c r="W269" s="62" t="str">
        <f>IFERROR(__xludf.DUMMYFUNCTION("""COMPUTED_VALUE"""),"Lynel")</f>
        <v>Lynel</v>
      </c>
      <c r="X269" s="62" t="str">
        <f>IFERROR(__xludf.DUMMYFUNCTION("""COMPUTED_VALUE"""),"Saber")</f>
        <v>Saber</v>
      </c>
      <c r="Y269" s="62" t="str">
        <f>IFERROR(__xludf.DUMMYFUNCTION("""COMPUTED_VALUE"""),"Horn")</f>
        <v>Horn</v>
      </c>
      <c r="Z269" s="62"/>
      <c r="AA269" s="62"/>
      <c r="AB269" s="63"/>
      <c r="AC269" s="62" t="str">
        <f t="shared" si="2"/>
        <v>Lynel Saber Horn</v>
      </c>
    </row>
    <row r="270">
      <c r="U270" s="62" t="str">
        <f>IFERROR(__xludf.DUMMYFUNCTION("""COMPUTED_VALUE"""),"2 Lynel Mace Horn")</f>
        <v>2 Lynel Mace Horn</v>
      </c>
      <c r="V270" s="62">
        <f>IFERROR(__xludf.DUMMYFUNCTION("SPLIT(U270,"" "")"),2.0)</f>
        <v>2</v>
      </c>
      <c r="W270" s="62" t="str">
        <f>IFERROR(__xludf.DUMMYFUNCTION("""COMPUTED_VALUE"""),"Lynel")</f>
        <v>Lynel</v>
      </c>
      <c r="X270" s="62" t="str">
        <f>IFERROR(__xludf.DUMMYFUNCTION("""COMPUTED_VALUE"""),"Mace")</f>
        <v>Mace</v>
      </c>
      <c r="Y270" s="62" t="str">
        <f>IFERROR(__xludf.DUMMYFUNCTION("""COMPUTED_VALUE"""),"Horn")</f>
        <v>Horn</v>
      </c>
      <c r="Z270" s="62"/>
      <c r="AA270" s="62"/>
      <c r="AB270" s="63"/>
      <c r="AC270" s="62" t="str">
        <f t="shared" si="2"/>
        <v>Lynel Mace Horn</v>
      </c>
    </row>
    <row r="271">
      <c r="U271" s="62" t="str">
        <f>IFERROR(__xludf.DUMMYFUNCTION("""COMPUTED_VALUE"""),"5 Razorshroom")</f>
        <v>5 Razorshroom</v>
      </c>
      <c r="V271" s="62">
        <f>IFERROR(__xludf.DUMMYFUNCTION("SPLIT(U271,"" "")"),5.0)</f>
        <v>5</v>
      </c>
      <c r="W271" s="62" t="str">
        <f>IFERROR(__xludf.DUMMYFUNCTION("""COMPUTED_VALUE"""),"Razorshroom")</f>
        <v>Razorshroom</v>
      </c>
      <c r="X271" s="62"/>
      <c r="Y271" s="62"/>
      <c r="Z271" s="62"/>
      <c r="AA271" s="62"/>
      <c r="AB271" s="63"/>
      <c r="AC271" s="62" t="str">
        <f t="shared" si="2"/>
        <v>Razorshroom</v>
      </c>
    </row>
    <row r="272">
      <c r="U272" s="62" t="str">
        <f>IFERROR(__xludf.DUMMYFUNCTION("""COMPUTED_VALUE"""),"3 Blue-Maned Lynel Saber Horn")</f>
        <v>3 Blue-Maned Lynel Saber Horn</v>
      </c>
      <c r="V272" s="62">
        <f>IFERROR(__xludf.DUMMYFUNCTION("SPLIT(U272,"" "")"),3.0)</f>
        <v>3</v>
      </c>
      <c r="W272" s="62" t="str">
        <f>IFERROR(__xludf.DUMMYFUNCTION("""COMPUTED_VALUE"""),"Blue-Maned")</f>
        <v>Blue-Maned</v>
      </c>
      <c r="X272" s="62" t="str">
        <f>IFERROR(__xludf.DUMMYFUNCTION("""COMPUTED_VALUE"""),"Lynel")</f>
        <v>Lynel</v>
      </c>
      <c r="Y272" s="62" t="str">
        <f>IFERROR(__xludf.DUMMYFUNCTION("""COMPUTED_VALUE"""),"Saber")</f>
        <v>Saber</v>
      </c>
      <c r="Z272" s="62" t="str">
        <f>IFERROR(__xludf.DUMMYFUNCTION("""COMPUTED_VALUE"""),"Horn")</f>
        <v>Horn</v>
      </c>
      <c r="AA272" s="62"/>
      <c r="AB272" s="63"/>
      <c r="AC272" s="62" t="str">
        <f t="shared" si="2"/>
        <v>Blue-Maned Lynel Saber Horn</v>
      </c>
    </row>
    <row r="273">
      <c r="U273" s="62" t="str">
        <f>IFERROR(__xludf.DUMMYFUNCTION("""COMPUTED_VALUE"""),"3 Blue-Maned Lynel Mace Horn")</f>
        <v>3 Blue-Maned Lynel Mace Horn</v>
      </c>
      <c r="V273" s="62">
        <f>IFERROR(__xludf.DUMMYFUNCTION("SPLIT(U273,"" "")"),3.0)</f>
        <v>3</v>
      </c>
      <c r="W273" s="62" t="str">
        <f>IFERROR(__xludf.DUMMYFUNCTION("""COMPUTED_VALUE"""),"Blue-Maned")</f>
        <v>Blue-Maned</v>
      </c>
      <c r="X273" s="62" t="str">
        <f>IFERROR(__xludf.DUMMYFUNCTION("""COMPUTED_VALUE"""),"Lynel")</f>
        <v>Lynel</v>
      </c>
      <c r="Y273" s="62" t="str">
        <f>IFERROR(__xludf.DUMMYFUNCTION("""COMPUTED_VALUE"""),"Mace")</f>
        <v>Mace</v>
      </c>
      <c r="Z273" s="62" t="str">
        <f>IFERROR(__xludf.DUMMYFUNCTION("""COMPUTED_VALUE"""),"Horn")</f>
        <v>Horn</v>
      </c>
      <c r="AA273" s="62"/>
      <c r="AB273" s="63"/>
      <c r="AC273" s="62" t="str">
        <f t="shared" si="2"/>
        <v>Blue-Maned Lynel Mace Horn</v>
      </c>
    </row>
    <row r="274">
      <c r="U274" s="62" t="str">
        <f>IFERROR(__xludf.DUMMYFUNCTION("""COMPUTED_VALUE"""),"3 Razorclaw Crab")</f>
        <v>3 Razorclaw Crab</v>
      </c>
      <c r="V274" s="62">
        <f>IFERROR(__xludf.DUMMYFUNCTION("SPLIT(U274,"" "")"),3.0)</f>
        <v>3</v>
      </c>
      <c r="W274" s="62" t="str">
        <f>IFERROR(__xludf.DUMMYFUNCTION("""COMPUTED_VALUE"""),"Razorclaw")</f>
        <v>Razorclaw</v>
      </c>
      <c r="X274" s="62" t="str">
        <f>IFERROR(__xludf.DUMMYFUNCTION("""COMPUTED_VALUE"""),"Crab")</f>
        <v>Crab</v>
      </c>
      <c r="Y274" s="62"/>
      <c r="Z274" s="62"/>
      <c r="AA274" s="62"/>
      <c r="AB274" s="63"/>
      <c r="AC274" s="62" t="str">
        <f t="shared" si="2"/>
        <v>Razorclaw Crab</v>
      </c>
    </row>
    <row r="275">
      <c r="U275" s="62" t="str">
        <f>IFERROR(__xludf.DUMMYFUNCTION("""COMPUTED_VALUE"""),"3 White-Maned Lynel Saber Horn")</f>
        <v>3 White-Maned Lynel Saber Horn</v>
      </c>
      <c r="V275" s="62">
        <f>IFERROR(__xludf.DUMMYFUNCTION("SPLIT(U275,"" "")"),3.0)</f>
        <v>3</v>
      </c>
      <c r="W275" s="62" t="str">
        <f>IFERROR(__xludf.DUMMYFUNCTION("""COMPUTED_VALUE"""),"White-Maned")</f>
        <v>White-Maned</v>
      </c>
      <c r="X275" s="62" t="str">
        <f>IFERROR(__xludf.DUMMYFUNCTION("""COMPUTED_VALUE"""),"Lynel")</f>
        <v>Lynel</v>
      </c>
      <c r="Y275" s="62" t="str">
        <f>IFERROR(__xludf.DUMMYFUNCTION("""COMPUTED_VALUE"""),"Saber")</f>
        <v>Saber</v>
      </c>
      <c r="Z275" s="62" t="str">
        <f>IFERROR(__xludf.DUMMYFUNCTION("""COMPUTED_VALUE"""),"Horn")</f>
        <v>Horn</v>
      </c>
      <c r="AA275" s="62"/>
      <c r="AB275" s="63"/>
      <c r="AC275" s="62" t="str">
        <f t="shared" si="2"/>
        <v>White-Maned Lynel Saber Horn</v>
      </c>
    </row>
    <row r="276">
      <c r="U276" s="62" t="str">
        <f>IFERROR(__xludf.DUMMYFUNCTION("""COMPUTED_VALUE"""),"3 White-Maned Lynel Mace Horn")</f>
        <v>3 White-Maned Lynel Mace Horn</v>
      </c>
      <c r="V276" s="62">
        <f>IFERROR(__xludf.DUMMYFUNCTION("SPLIT(U276,"" "")"),3.0)</f>
        <v>3</v>
      </c>
      <c r="W276" s="62" t="str">
        <f>IFERROR(__xludf.DUMMYFUNCTION("""COMPUTED_VALUE"""),"White-Maned")</f>
        <v>White-Maned</v>
      </c>
      <c r="X276" s="62" t="str">
        <f>IFERROR(__xludf.DUMMYFUNCTION("""COMPUTED_VALUE"""),"Lynel")</f>
        <v>Lynel</v>
      </c>
      <c r="Y276" s="62" t="str">
        <f>IFERROR(__xludf.DUMMYFUNCTION("""COMPUTED_VALUE"""),"Mace")</f>
        <v>Mace</v>
      </c>
      <c r="Z276" s="62" t="str">
        <f>IFERROR(__xludf.DUMMYFUNCTION("""COMPUTED_VALUE"""),"Horn")</f>
        <v>Horn</v>
      </c>
      <c r="AA276" s="62"/>
      <c r="AB276" s="63"/>
      <c r="AC276" s="62" t="str">
        <f t="shared" si="2"/>
        <v>White-Maned Lynel Mace Horn</v>
      </c>
    </row>
    <row r="277">
      <c r="U277" s="62" t="str">
        <f>IFERROR(__xludf.DUMMYFUNCTION("""COMPUTED_VALUE"""),"3 Bladed Rhino Beetle")</f>
        <v>3 Bladed Rhino Beetle</v>
      </c>
      <c r="V277" s="62">
        <f>IFERROR(__xludf.DUMMYFUNCTION("SPLIT(U277,"" "")"),3.0)</f>
        <v>3</v>
      </c>
      <c r="W277" s="62" t="str">
        <f>IFERROR(__xludf.DUMMYFUNCTION("""COMPUTED_VALUE"""),"Bladed")</f>
        <v>Bladed</v>
      </c>
      <c r="X277" s="62" t="str">
        <f>IFERROR(__xludf.DUMMYFUNCTION("""COMPUTED_VALUE"""),"Rhino")</f>
        <v>Rhino</v>
      </c>
      <c r="Y277" s="62" t="str">
        <f>IFERROR(__xludf.DUMMYFUNCTION("""COMPUTED_VALUE"""),"Beetle")</f>
        <v>Beetle</v>
      </c>
      <c r="Z277" s="62"/>
      <c r="AA277" s="62"/>
      <c r="AB277" s="63"/>
      <c r="AC277" s="62" t="str">
        <f t="shared" si="2"/>
        <v>Bladed Rhino Beetle</v>
      </c>
    </row>
    <row r="278">
      <c r="U278" s="62" t="str">
        <f>IFERROR(__xludf.DUMMYFUNCTION("""COMPUTED_VALUE"""),"3 Mighty Thistle")</f>
        <v>3 Mighty Thistle</v>
      </c>
      <c r="V278" s="62">
        <f>IFERROR(__xludf.DUMMYFUNCTION("SPLIT(U278,"" "")"),3.0)</f>
        <v>3</v>
      </c>
      <c r="W278" s="62" t="str">
        <f>IFERROR(__xludf.DUMMYFUNCTION("""COMPUTED_VALUE"""),"Mighty")</f>
        <v>Mighty</v>
      </c>
      <c r="X278" s="62" t="str">
        <f>IFERROR(__xludf.DUMMYFUNCTION("""COMPUTED_VALUE"""),"Thistle")</f>
        <v>Thistle</v>
      </c>
      <c r="Y278" s="62"/>
      <c r="Z278" s="62"/>
      <c r="AA278" s="62"/>
      <c r="AB278" s="63"/>
      <c r="AC278" s="62" t="str">
        <f t="shared" si="2"/>
        <v>Mighty Thistle</v>
      </c>
    </row>
    <row r="279">
      <c r="U279" s="62" t="str">
        <f>IFERROR(__xludf.DUMMYFUNCTION("""COMPUTED_VALUE"""),"2 Lynel Saber Horn")</f>
        <v>2 Lynel Saber Horn</v>
      </c>
      <c r="V279" s="62">
        <f>IFERROR(__xludf.DUMMYFUNCTION("SPLIT(U279,"" "")"),2.0)</f>
        <v>2</v>
      </c>
      <c r="W279" s="62" t="str">
        <f>IFERROR(__xludf.DUMMYFUNCTION("""COMPUTED_VALUE"""),"Lynel")</f>
        <v>Lynel</v>
      </c>
      <c r="X279" s="62" t="str">
        <f>IFERROR(__xludf.DUMMYFUNCTION("""COMPUTED_VALUE"""),"Saber")</f>
        <v>Saber</v>
      </c>
      <c r="Y279" s="62" t="str">
        <f>IFERROR(__xludf.DUMMYFUNCTION("""COMPUTED_VALUE"""),"Horn")</f>
        <v>Horn</v>
      </c>
      <c r="Z279" s="62"/>
      <c r="AA279" s="62"/>
      <c r="AB279" s="63"/>
      <c r="AC279" s="62" t="str">
        <f t="shared" si="2"/>
        <v>Lynel Saber Horn</v>
      </c>
    </row>
    <row r="280">
      <c r="U280" s="62" t="str">
        <f>IFERROR(__xludf.DUMMYFUNCTION("""COMPUTED_VALUE"""),"2 Lynel Mace Horn")</f>
        <v>2 Lynel Mace Horn</v>
      </c>
      <c r="V280" s="62">
        <f>IFERROR(__xludf.DUMMYFUNCTION("SPLIT(U280,"" "")"),2.0)</f>
        <v>2</v>
      </c>
      <c r="W280" s="62" t="str">
        <f>IFERROR(__xludf.DUMMYFUNCTION("""COMPUTED_VALUE"""),"Lynel")</f>
        <v>Lynel</v>
      </c>
      <c r="X280" s="62" t="str">
        <f>IFERROR(__xludf.DUMMYFUNCTION("""COMPUTED_VALUE"""),"Mace")</f>
        <v>Mace</v>
      </c>
      <c r="Y280" s="62" t="str">
        <f>IFERROR(__xludf.DUMMYFUNCTION("""COMPUTED_VALUE"""),"Horn")</f>
        <v>Horn</v>
      </c>
      <c r="Z280" s="62"/>
      <c r="AA280" s="62"/>
      <c r="AB280" s="63"/>
      <c r="AC280" s="62" t="str">
        <f t="shared" si="2"/>
        <v>Lynel Mace Horn</v>
      </c>
    </row>
    <row r="281">
      <c r="U281" s="62" t="str">
        <f>IFERROR(__xludf.DUMMYFUNCTION("""COMPUTED_VALUE"""),"5 Razorshroom")</f>
        <v>5 Razorshroom</v>
      </c>
      <c r="V281" s="62">
        <f>IFERROR(__xludf.DUMMYFUNCTION("SPLIT(U281,"" "")"),5.0)</f>
        <v>5</v>
      </c>
      <c r="W281" s="62" t="str">
        <f>IFERROR(__xludf.DUMMYFUNCTION("""COMPUTED_VALUE"""),"Razorshroom")</f>
        <v>Razorshroom</v>
      </c>
      <c r="X281" s="62"/>
      <c r="Y281" s="62"/>
      <c r="Z281" s="62"/>
      <c r="AA281" s="62"/>
      <c r="AB281" s="63"/>
      <c r="AC281" s="62" t="str">
        <f t="shared" si="2"/>
        <v>Razorshroom</v>
      </c>
    </row>
    <row r="282">
      <c r="U282" s="62" t="str">
        <f>IFERROR(__xludf.DUMMYFUNCTION("""COMPUTED_VALUE"""),"3 Blue-Maned Lynel Saber Horn")</f>
        <v>3 Blue-Maned Lynel Saber Horn</v>
      </c>
      <c r="V282" s="62">
        <f>IFERROR(__xludf.DUMMYFUNCTION("SPLIT(U282,"" "")"),3.0)</f>
        <v>3</v>
      </c>
      <c r="W282" s="62" t="str">
        <f>IFERROR(__xludf.DUMMYFUNCTION("""COMPUTED_VALUE"""),"Blue-Maned")</f>
        <v>Blue-Maned</v>
      </c>
      <c r="X282" s="62" t="str">
        <f>IFERROR(__xludf.DUMMYFUNCTION("""COMPUTED_VALUE"""),"Lynel")</f>
        <v>Lynel</v>
      </c>
      <c r="Y282" s="62" t="str">
        <f>IFERROR(__xludf.DUMMYFUNCTION("""COMPUTED_VALUE"""),"Saber")</f>
        <v>Saber</v>
      </c>
      <c r="Z282" s="62" t="str">
        <f>IFERROR(__xludf.DUMMYFUNCTION("""COMPUTED_VALUE"""),"Horn")</f>
        <v>Horn</v>
      </c>
      <c r="AA282" s="62"/>
      <c r="AB282" s="63"/>
      <c r="AC282" s="62" t="str">
        <f t="shared" si="2"/>
        <v>Blue-Maned Lynel Saber Horn</v>
      </c>
    </row>
    <row r="283">
      <c r="U283" s="62" t="str">
        <f>IFERROR(__xludf.DUMMYFUNCTION("""COMPUTED_VALUE"""),"3 Blue-Maned Lynel Mace Horn")</f>
        <v>3 Blue-Maned Lynel Mace Horn</v>
      </c>
      <c r="V283" s="62">
        <f>IFERROR(__xludf.DUMMYFUNCTION("SPLIT(U283,"" "")"),3.0)</f>
        <v>3</v>
      </c>
      <c r="W283" s="62" t="str">
        <f>IFERROR(__xludf.DUMMYFUNCTION("""COMPUTED_VALUE"""),"Blue-Maned")</f>
        <v>Blue-Maned</v>
      </c>
      <c r="X283" s="62" t="str">
        <f>IFERROR(__xludf.DUMMYFUNCTION("""COMPUTED_VALUE"""),"Lynel")</f>
        <v>Lynel</v>
      </c>
      <c r="Y283" s="62" t="str">
        <f>IFERROR(__xludf.DUMMYFUNCTION("""COMPUTED_VALUE"""),"Mace")</f>
        <v>Mace</v>
      </c>
      <c r="Z283" s="62" t="str">
        <f>IFERROR(__xludf.DUMMYFUNCTION("""COMPUTED_VALUE"""),"Horn")</f>
        <v>Horn</v>
      </c>
      <c r="AA283" s="62"/>
      <c r="AB283" s="63"/>
      <c r="AC283" s="62" t="str">
        <f t="shared" si="2"/>
        <v>Blue-Maned Lynel Mace Horn</v>
      </c>
    </row>
    <row r="284">
      <c r="U284" s="62" t="str">
        <f>IFERROR(__xludf.DUMMYFUNCTION("""COMPUTED_VALUE"""),"3 Razorclaw Crab")</f>
        <v>3 Razorclaw Crab</v>
      </c>
      <c r="V284" s="62">
        <f>IFERROR(__xludf.DUMMYFUNCTION("SPLIT(U284,"" "")"),3.0)</f>
        <v>3</v>
      </c>
      <c r="W284" s="62" t="str">
        <f>IFERROR(__xludf.DUMMYFUNCTION("""COMPUTED_VALUE"""),"Razorclaw")</f>
        <v>Razorclaw</v>
      </c>
      <c r="X284" s="62" t="str">
        <f>IFERROR(__xludf.DUMMYFUNCTION("""COMPUTED_VALUE"""),"Crab")</f>
        <v>Crab</v>
      </c>
      <c r="Y284" s="62"/>
      <c r="Z284" s="62"/>
      <c r="AA284" s="62"/>
      <c r="AB284" s="63"/>
      <c r="AC284" s="62" t="str">
        <f t="shared" si="2"/>
        <v>Razorclaw Crab</v>
      </c>
    </row>
    <row r="285">
      <c r="U285" s="62" t="str">
        <f>IFERROR(__xludf.DUMMYFUNCTION("""COMPUTED_VALUE"""),"3 White-Maned Lynel Saber Horn")</f>
        <v>3 White-Maned Lynel Saber Horn</v>
      </c>
      <c r="V285" s="62">
        <f>IFERROR(__xludf.DUMMYFUNCTION("SPLIT(U285,"" "")"),3.0)</f>
        <v>3</v>
      </c>
      <c r="W285" s="62" t="str">
        <f>IFERROR(__xludf.DUMMYFUNCTION("""COMPUTED_VALUE"""),"White-Maned")</f>
        <v>White-Maned</v>
      </c>
      <c r="X285" s="62" t="str">
        <f>IFERROR(__xludf.DUMMYFUNCTION("""COMPUTED_VALUE"""),"Lynel")</f>
        <v>Lynel</v>
      </c>
      <c r="Y285" s="62" t="str">
        <f>IFERROR(__xludf.DUMMYFUNCTION("""COMPUTED_VALUE"""),"Saber")</f>
        <v>Saber</v>
      </c>
      <c r="Z285" s="62" t="str">
        <f>IFERROR(__xludf.DUMMYFUNCTION("""COMPUTED_VALUE"""),"Horn")</f>
        <v>Horn</v>
      </c>
      <c r="AA285" s="62"/>
      <c r="AB285" s="63"/>
      <c r="AC285" s="62" t="str">
        <f t="shared" si="2"/>
        <v>White-Maned Lynel Saber Horn</v>
      </c>
    </row>
    <row r="286">
      <c r="U286" s="62" t="str">
        <f>IFERROR(__xludf.DUMMYFUNCTION("""COMPUTED_VALUE"""),"3 White-Maned Lynel Mace Horn")</f>
        <v>3 White-Maned Lynel Mace Horn</v>
      </c>
      <c r="V286" s="62">
        <f>IFERROR(__xludf.DUMMYFUNCTION("SPLIT(U286,"" "")"),3.0)</f>
        <v>3</v>
      </c>
      <c r="W286" s="62" t="str">
        <f>IFERROR(__xludf.DUMMYFUNCTION("""COMPUTED_VALUE"""),"White-Maned")</f>
        <v>White-Maned</v>
      </c>
      <c r="X286" s="62" t="str">
        <f>IFERROR(__xludf.DUMMYFUNCTION("""COMPUTED_VALUE"""),"Lynel")</f>
        <v>Lynel</v>
      </c>
      <c r="Y286" s="62" t="str">
        <f>IFERROR(__xludf.DUMMYFUNCTION("""COMPUTED_VALUE"""),"Mace")</f>
        <v>Mace</v>
      </c>
      <c r="Z286" s="62" t="str">
        <f>IFERROR(__xludf.DUMMYFUNCTION("""COMPUTED_VALUE"""),"Horn")</f>
        <v>Horn</v>
      </c>
      <c r="AA286" s="62"/>
      <c r="AB286" s="63"/>
      <c r="AC286" s="62" t="str">
        <f t="shared" si="2"/>
        <v>White-Maned Lynel Mace Horn</v>
      </c>
    </row>
    <row r="287">
      <c r="U287" s="62" t="str">
        <f>IFERROR(__xludf.DUMMYFUNCTION("""COMPUTED_VALUE"""),"3 Bladed Rhino Beetle")</f>
        <v>3 Bladed Rhino Beetle</v>
      </c>
      <c r="V287" s="62">
        <f>IFERROR(__xludf.DUMMYFUNCTION("SPLIT(U287,"" "")"),3.0)</f>
        <v>3</v>
      </c>
      <c r="W287" s="62" t="str">
        <f>IFERROR(__xludf.DUMMYFUNCTION("""COMPUTED_VALUE"""),"Bladed")</f>
        <v>Bladed</v>
      </c>
      <c r="X287" s="62" t="str">
        <f>IFERROR(__xludf.DUMMYFUNCTION("""COMPUTED_VALUE"""),"Rhino")</f>
        <v>Rhino</v>
      </c>
      <c r="Y287" s="62" t="str">
        <f>IFERROR(__xludf.DUMMYFUNCTION("""COMPUTED_VALUE"""),"Beetle")</f>
        <v>Beetle</v>
      </c>
      <c r="Z287" s="62"/>
      <c r="AA287" s="62"/>
      <c r="AB287" s="63"/>
      <c r="AC287" s="62" t="str">
        <f t="shared" si="2"/>
        <v>Bladed Rhino Beetle</v>
      </c>
    </row>
    <row r="288">
      <c r="U288" s="62" t="str">
        <f>IFERROR(__xludf.DUMMYFUNCTION("""COMPUTED_VALUE"""),"3 Mighty Thistle")</f>
        <v>3 Mighty Thistle</v>
      </c>
      <c r="V288" s="62">
        <f>IFERROR(__xludf.DUMMYFUNCTION("SPLIT(U288,"" "")"),3.0)</f>
        <v>3</v>
      </c>
      <c r="W288" s="62" t="str">
        <f>IFERROR(__xludf.DUMMYFUNCTION("""COMPUTED_VALUE"""),"Mighty")</f>
        <v>Mighty</v>
      </c>
      <c r="X288" s="62" t="str">
        <f>IFERROR(__xludf.DUMMYFUNCTION("""COMPUTED_VALUE"""),"Thistle")</f>
        <v>Thistle</v>
      </c>
      <c r="Y288" s="62"/>
      <c r="Z288" s="62"/>
      <c r="AA288" s="62"/>
      <c r="AB288" s="63"/>
      <c r="AC288" s="62" t="str">
        <f t="shared" si="2"/>
        <v>Mighty Thistle</v>
      </c>
    </row>
    <row r="289">
      <c r="U289" s="62" t="str">
        <f>IFERROR(__xludf.DUMMYFUNCTION("""COMPUTED_VALUE"""),"2 Lynel Saber Horn")</f>
        <v>2 Lynel Saber Horn</v>
      </c>
      <c r="V289" s="62">
        <f>IFERROR(__xludf.DUMMYFUNCTION("SPLIT(U289,"" "")"),2.0)</f>
        <v>2</v>
      </c>
      <c r="W289" s="62" t="str">
        <f>IFERROR(__xludf.DUMMYFUNCTION("""COMPUTED_VALUE"""),"Lynel")</f>
        <v>Lynel</v>
      </c>
      <c r="X289" s="62" t="str">
        <f>IFERROR(__xludf.DUMMYFUNCTION("""COMPUTED_VALUE"""),"Saber")</f>
        <v>Saber</v>
      </c>
      <c r="Y289" s="62" t="str">
        <f>IFERROR(__xludf.DUMMYFUNCTION("""COMPUTED_VALUE"""),"Horn")</f>
        <v>Horn</v>
      </c>
      <c r="Z289" s="62"/>
      <c r="AA289" s="62"/>
      <c r="AB289" s="63"/>
      <c r="AC289" s="62" t="str">
        <f t="shared" si="2"/>
        <v>Lynel Saber Horn</v>
      </c>
    </row>
    <row r="290">
      <c r="U290" s="62" t="str">
        <f>IFERROR(__xludf.DUMMYFUNCTION("""COMPUTED_VALUE"""),"2 Lynel Mace Horn")</f>
        <v>2 Lynel Mace Horn</v>
      </c>
      <c r="V290" s="62">
        <f>IFERROR(__xludf.DUMMYFUNCTION("SPLIT(U290,"" "")"),2.0)</f>
        <v>2</v>
      </c>
      <c r="W290" s="62" t="str">
        <f>IFERROR(__xludf.DUMMYFUNCTION("""COMPUTED_VALUE"""),"Lynel")</f>
        <v>Lynel</v>
      </c>
      <c r="X290" s="62" t="str">
        <f>IFERROR(__xludf.DUMMYFUNCTION("""COMPUTED_VALUE"""),"Mace")</f>
        <v>Mace</v>
      </c>
      <c r="Y290" s="62" t="str">
        <f>IFERROR(__xludf.DUMMYFUNCTION("""COMPUTED_VALUE"""),"Horn")</f>
        <v>Horn</v>
      </c>
      <c r="Z290" s="62"/>
      <c r="AA290" s="62"/>
      <c r="AB290" s="63"/>
      <c r="AC290" s="62" t="str">
        <f t="shared" si="2"/>
        <v>Lynel Mace Horn</v>
      </c>
    </row>
    <row r="291">
      <c r="U291" s="62" t="str">
        <f>IFERROR(__xludf.DUMMYFUNCTION("""COMPUTED_VALUE"""),"5 Razorshroom")</f>
        <v>5 Razorshroom</v>
      </c>
      <c r="V291" s="62">
        <f>IFERROR(__xludf.DUMMYFUNCTION("SPLIT(U291,"" "")"),5.0)</f>
        <v>5</v>
      </c>
      <c r="W291" s="62" t="str">
        <f>IFERROR(__xludf.DUMMYFUNCTION("""COMPUTED_VALUE"""),"Razorshroom")</f>
        <v>Razorshroom</v>
      </c>
      <c r="X291" s="62"/>
      <c r="Y291" s="62"/>
      <c r="Z291" s="62"/>
      <c r="AA291" s="62"/>
      <c r="AB291" s="63"/>
      <c r="AC291" s="62" t="str">
        <f t="shared" si="2"/>
        <v>Razorshroom</v>
      </c>
    </row>
    <row r="292">
      <c r="U292" s="62" t="str">
        <f>IFERROR(__xludf.DUMMYFUNCTION("""COMPUTED_VALUE"""),"3 Blue-Maned Lynel Saber Horn")</f>
        <v>3 Blue-Maned Lynel Saber Horn</v>
      </c>
      <c r="V292" s="62">
        <f>IFERROR(__xludf.DUMMYFUNCTION("SPLIT(U292,"" "")"),3.0)</f>
        <v>3</v>
      </c>
      <c r="W292" s="62" t="str">
        <f>IFERROR(__xludf.DUMMYFUNCTION("""COMPUTED_VALUE"""),"Blue-Maned")</f>
        <v>Blue-Maned</v>
      </c>
      <c r="X292" s="62" t="str">
        <f>IFERROR(__xludf.DUMMYFUNCTION("""COMPUTED_VALUE"""),"Lynel")</f>
        <v>Lynel</v>
      </c>
      <c r="Y292" s="62" t="str">
        <f>IFERROR(__xludf.DUMMYFUNCTION("""COMPUTED_VALUE"""),"Saber")</f>
        <v>Saber</v>
      </c>
      <c r="Z292" s="62" t="str">
        <f>IFERROR(__xludf.DUMMYFUNCTION("""COMPUTED_VALUE"""),"Horn")</f>
        <v>Horn</v>
      </c>
      <c r="AA292" s="62"/>
      <c r="AB292" s="63"/>
      <c r="AC292" s="62" t="str">
        <f t="shared" si="2"/>
        <v>Blue-Maned Lynel Saber Horn</v>
      </c>
    </row>
    <row r="293">
      <c r="U293" s="62" t="str">
        <f>IFERROR(__xludf.DUMMYFUNCTION("""COMPUTED_VALUE"""),"3 Blue-Maned Lynel Mace Horn")</f>
        <v>3 Blue-Maned Lynel Mace Horn</v>
      </c>
      <c r="V293" s="62">
        <f>IFERROR(__xludf.DUMMYFUNCTION("SPLIT(U293,"" "")"),3.0)</f>
        <v>3</v>
      </c>
      <c r="W293" s="62" t="str">
        <f>IFERROR(__xludf.DUMMYFUNCTION("""COMPUTED_VALUE"""),"Blue-Maned")</f>
        <v>Blue-Maned</v>
      </c>
      <c r="X293" s="62" t="str">
        <f>IFERROR(__xludf.DUMMYFUNCTION("""COMPUTED_VALUE"""),"Lynel")</f>
        <v>Lynel</v>
      </c>
      <c r="Y293" s="62" t="str">
        <f>IFERROR(__xludf.DUMMYFUNCTION("""COMPUTED_VALUE"""),"Mace")</f>
        <v>Mace</v>
      </c>
      <c r="Z293" s="62" t="str">
        <f>IFERROR(__xludf.DUMMYFUNCTION("""COMPUTED_VALUE"""),"Horn")</f>
        <v>Horn</v>
      </c>
      <c r="AA293" s="62"/>
      <c r="AB293" s="63"/>
      <c r="AC293" s="62" t="str">
        <f t="shared" si="2"/>
        <v>Blue-Maned Lynel Mace Horn</v>
      </c>
    </row>
    <row r="294">
      <c r="U294" s="62" t="str">
        <f>IFERROR(__xludf.DUMMYFUNCTION("""COMPUTED_VALUE"""),"3 Razorclaw Crab")</f>
        <v>3 Razorclaw Crab</v>
      </c>
      <c r="V294" s="62">
        <f>IFERROR(__xludf.DUMMYFUNCTION("SPLIT(U294,"" "")"),3.0)</f>
        <v>3</v>
      </c>
      <c r="W294" s="62" t="str">
        <f>IFERROR(__xludf.DUMMYFUNCTION("""COMPUTED_VALUE"""),"Razorclaw")</f>
        <v>Razorclaw</v>
      </c>
      <c r="X294" s="62" t="str">
        <f>IFERROR(__xludf.DUMMYFUNCTION("""COMPUTED_VALUE"""),"Crab")</f>
        <v>Crab</v>
      </c>
      <c r="Y294" s="62"/>
      <c r="Z294" s="62"/>
      <c r="AA294" s="62"/>
      <c r="AB294" s="63"/>
      <c r="AC294" s="62" t="str">
        <f t="shared" si="2"/>
        <v>Razorclaw Crab</v>
      </c>
    </row>
    <row r="295">
      <c r="U295" s="62" t="str">
        <f>IFERROR(__xludf.DUMMYFUNCTION("""COMPUTED_VALUE"""),"3 White-Maned Lynel Saber Horn")</f>
        <v>3 White-Maned Lynel Saber Horn</v>
      </c>
      <c r="V295" s="62">
        <f>IFERROR(__xludf.DUMMYFUNCTION("SPLIT(U295,"" "")"),3.0)</f>
        <v>3</v>
      </c>
      <c r="W295" s="62" t="str">
        <f>IFERROR(__xludf.DUMMYFUNCTION("""COMPUTED_VALUE"""),"White-Maned")</f>
        <v>White-Maned</v>
      </c>
      <c r="X295" s="62" t="str">
        <f>IFERROR(__xludf.DUMMYFUNCTION("""COMPUTED_VALUE"""),"Lynel")</f>
        <v>Lynel</v>
      </c>
      <c r="Y295" s="62" t="str">
        <f>IFERROR(__xludf.DUMMYFUNCTION("""COMPUTED_VALUE"""),"Saber")</f>
        <v>Saber</v>
      </c>
      <c r="Z295" s="62" t="str">
        <f>IFERROR(__xludf.DUMMYFUNCTION("""COMPUTED_VALUE"""),"Horn")</f>
        <v>Horn</v>
      </c>
      <c r="AA295" s="62"/>
      <c r="AB295" s="63"/>
      <c r="AC295" s="62" t="str">
        <f t="shared" si="2"/>
        <v>White-Maned Lynel Saber Horn</v>
      </c>
    </row>
    <row r="296">
      <c r="U296" s="62" t="str">
        <f>IFERROR(__xludf.DUMMYFUNCTION("""COMPUTED_VALUE"""),"3 White-Maned Lynel Mace Horn")</f>
        <v>3 White-Maned Lynel Mace Horn</v>
      </c>
      <c r="V296" s="62">
        <f>IFERROR(__xludf.DUMMYFUNCTION("SPLIT(U296,"" "")"),3.0)</f>
        <v>3</v>
      </c>
      <c r="W296" s="62" t="str">
        <f>IFERROR(__xludf.DUMMYFUNCTION("""COMPUTED_VALUE"""),"White-Maned")</f>
        <v>White-Maned</v>
      </c>
      <c r="X296" s="62" t="str">
        <f>IFERROR(__xludf.DUMMYFUNCTION("""COMPUTED_VALUE"""),"Lynel")</f>
        <v>Lynel</v>
      </c>
      <c r="Y296" s="62" t="str">
        <f>IFERROR(__xludf.DUMMYFUNCTION("""COMPUTED_VALUE"""),"Mace")</f>
        <v>Mace</v>
      </c>
      <c r="Z296" s="62" t="str">
        <f>IFERROR(__xludf.DUMMYFUNCTION("""COMPUTED_VALUE"""),"Horn")</f>
        <v>Horn</v>
      </c>
      <c r="AA296" s="62"/>
      <c r="AB296" s="63"/>
      <c r="AC296" s="62" t="str">
        <f t="shared" si="2"/>
        <v>White-Maned Lynel Mace Horn</v>
      </c>
    </row>
    <row r="297">
      <c r="U297" s="62" t="str">
        <f>IFERROR(__xludf.DUMMYFUNCTION("""COMPUTED_VALUE"""),"3 Bladed Rhino Beetle")</f>
        <v>3 Bladed Rhino Beetle</v>
      </c>
      <c r="V297" s="62">
        <f>IFERROR(__xludf.DUMMYFUNCTION("SPLIT(U297,"" "")"),3.0)</f>
        <v>3</v>
      </c>
      <c r="W297" s="62" t="str">
        <f>IFERROR(__xludf.DUMMYFUNCTION("""COMPUTED_VALUE"""),"Bladed")</f>
        <v>Bladed</v>
      </c>
      <c r="X297" s="62" t="str">
        <f>IFERROR(__xludf.DUMMYFUNCTION("""COMPUTED_VALUE"""),"Rhino")</f>
        <v>Rhino</v>
      </c>
      <c r="Y297" s="62" t="str">
        <f>IFERROR(__xludf.DUMMYFUNCTION("""COMPUTED_VALUE"""),"Beetle")</f>
        <v>Beetle</v>
      </c>
      <c r="Z297" s="62"/>
      <c r="AA297" s="62"/>
      <c r="AB297" s="63"/>
      <c r="AC297" s="62" t="str">
        <f t="shared" si="2"/>
        <v>Bladed Rhino Beetle</v>
      </c>
    </row>
    <row r="298">
      <c r="U298" s="62" t="str">
        <f>IFERROR(__xludf.DUMMYFUNCTION("""COMPUTED_VALUE"""),"10 Luminous Stone")</f>
        <v>10 Luminous Stone</v>
      </c>
      <c r="V298" s="62">
        <f>IFERROR(__xludf.DUMMYFUNCTION("SPLIT(U298,"" "")"),10.0)</f>
        <v>10</v>
      </c>
      <c r="W298" s="62" t="str">
        <f>IFERROR(__xludf.DUMMYFUNCTION("""COMPUTED_VALUE"""),"Luminous")</f>
        <v>Luminous</v>
      </c>
      <c r="X298" s="62" t="str">
        <f>IFERROR(__xludf.DUMMYFUNCTION("""COMPUTED_VALUE"""),"Stone")</f>
        <v>Stone</v>
      </c>
      <c r="Y298" s="62"/>
      <c r="Z298" s="62"/>
      <c r="AA298" s="62"/>
      <c r="AB298" s="63"/>
      <c r="AC298" s="62" t="str">
        <f t="shared" si="2"/>
        <v>Luminous Stone</v>
      </c>
    </row>
    <row r="299">
      <c r="U299" s="62" t="str">
        <f>IFERROR(__xludf.DUMMYFUNCTION("""COMPUTED_VALUE"""),"1 Bokoblin Guts")</f>
        <v>1 Bokoblin Guts</v>
      </c>
      <c r="V299" s="62">
        <f>IFERROR(__xludf.DUMMYFUNCTION("SPLIT(U299,"" "")"),1.0)</f>
        <v>1</v>
      </c>
      <c r="W299" s="62" t="str">
        <f>IFERROR(__xludf.DUMMYFUNCTION("""COMPUTED_VALUE"""),"Bokoblin")</f>
        <v>Bokoblin</v>
      </c>
      <c r="X299" s="62" t="str">
        <f>IFERROR(__xludf.DUMMYFUNCTION("""COMPUTED_VALUE"""),"Guts")</f>
        <v>Guts</v>
      </c>
      <c r="Y299" s="62"/>
      <c r="Z299" s="62"/>
      <c r="AA299" s="62"/>
      <c r="AB299" s="63"/>
      <c r="AC299" s="62" t="str">
        <f t="shared" si="2"/>
        <v>Bokoblin Guts</v>
      </c>
    </row>
    <row r="300">
      <c r="U300" s="62" t="str">
        <f>IFERROR(__xludf.DUMMYFUNCTION("""COMPUTED_VALUE"""),"15 Luminous Stone")</f>
        <v>15 Luminous Stone</v>
      </c>
      <c r="V300" s="62">
        <f>IFERROR(__xludf.DUMMYFUNCTION("SPLIT(U300,"" "")"),15.0)</f>
        <v>15</v>
      </c>
      <c r="W300" s="62" t="str">
        <f>IFERROR(__xludf.DUMMYFUNCTION("""COMPUTED_VALUE"""),"Luminous")</f>
        <v>Luminous</v>
      </c>
      <c r="X300" s="62" t="str">
        <f>IFERROR(__xludf.DUMMYFUNCTION("""COMPUTED_VALUE"""),"Stone")</f>
        <v>Stone</v>
      </c>
      <c r="Y300" s="62"/>
      <c r="Z300" s="62"/>
      <c r="AA300" s="62"/>
      <c r="AB300" s="63"/>
      <c r="AC300" s="62" t="str">
        <f t="shared" si="2"/>
        <v>Luminous Stone</v>
      </c>
    </row>
    <row r="301">
      <c r="U301" s="62" t="str">
        <f>IFERROR(__xludf.DUMMYFUNCTION("""COMPUTED_VALUE"""),"2 Moblin Guts")</f>
        <v>2 Moblin Guts</v>
      </c>
      <c r="V301" s="62">
        <f>IFERROR(__xludf.DUMMYFUNCTION("SPLIT(U301,"" "")"),2.0)</f>
        <v>2</v>
      </c>
      <c r="W301" s="62" t="str">
        <f>IFERROR(__xludf.DUMMYFUNCTION("""COMPUTED_VALUE"""),"Moblin")</f>
        <v>Moblin</v>
      </c>
      <c r="X301" s="62" t="str">
        <f>IFERROR(__xludf.DUMMYFUNCTION("""COMPUTED_VALUE"""),"Guts")</f>
        <v>Guts</v>
      </c>
      <c r="Y301" s="62"/>
      <c r="Z301" s="62"/>
      <c r="AA301" s="62"/>
      <c r="AB301" s="63"/>
      <c r="AC301" s="62" t="str">
        <f t="shared" si="2"/>
        <v>Moblin Guts</v>
      </c>
    </row>
    <row r="302">
      <c r="U302" s="62" t="str">
        <f>IFERROR(__xludf.DUMMYFUNCTION("""COMPUTED_VALUE"""),"20 Luminous Stone")</f>
        <v>20 Luminous Stone</v>
      </c>
      <c r="V302" s="62">
        <f>IFERROR(__xludf.DUMMYFUNCTION("SPLIT(U302,"" "")"),20.0)</f>
        <v>20</v>
      </c>
      <c r="W302" s="62" t="str">
        <f>IFERROR(__xludf.DUMMYFUNCTION("""COMPUTED_VALUE"""),"Luminous")</f>
        <v>Luminous</v>
      </c>
      <c r="X302" s="62" t="str">
        <f>IFERROR(__xludf.DUMMYFUNCTION("""COMPUTED_VALUE"""),"Stone")</f>
        <v>Stone</v>
      </c>
      <c r="Y302" s="62"/>
      <c r="Z302" s="62"/>
      <c r="AA302" s="62"/>
      <c r="AB302" s="63"/>
      <c r="AC302" s="62" t="str">
        <f t="shared" si="2"/>
        <v>Luminous Stone</v>
      </c>
    </row>
    <row r="303">
      <c r="U303" s="62" t="str">
        <f>IFERROR(__xludf.DUMMYFUNCTION("""COMPUTED_VALUE"""),"3 Horriblin Guts")</f>
        <v>3 Horriblin Guts</v>
      </c>
      <c r="V303" s="62">
        <f>IFERROR(__xludf.DUMMYFUNCTION("SPLIT(U303,"" "")"),3.0)</f>
        <v>3</v>
      </c>
      <c r="W303" s="62" t="str">
        <f>IFERROR(__xludf.DUMMYFUNCTION("""COMPUTED_VALUE"""),"Horriblin")</f>
        <v>Horriblin</v>
      </c>
      <c r="X303" s="62" t="str">
        <f>IFERROR(__xludf.DUMMYFUNCTION("""COMPUTED_VALUE"""),"Guts")</f>
        <v>Guts</v>
      </c>
      <c r="Y303" s="62"/>
      <c r="Z303" s="62"/>
      <c r="AA303" s="62"/>
      <c r="AB303" s="63"/>
      <c r="AC303" s="62" t="str">
        <f t="shared" si="2"/>
        <v>Horriblin Guts</v>
      </c>
    </row>
    <row r="304">
      <c r="U304" s="62" t="str">
        <f>IFERROR(__xludf.DUMMYFUNCTION("""COMPUTED_VALUE"""),"10 Gibdo Bone")</f>
        <v>10 Gibdo Bone</v>
      </c>
      <c r="V304" s="62">
        <f>IFERROR(__xludf.DUMMYFUNCTION("SPLIT(U304,"" "")"),10.0)</f>
        <v>10</v>
      </c>
      <c r="W304" s="62" t="str">
        <f>IFERROR(__xludf.DUMMYFUNCTION("""COMPUTED_VALUE"""),"Gibdo")</f>
        <v>Gibdo</v>
      </c>
      <c r="X304" s="62" t="str">
        <f>IFERROR(__xludf.DUMMYFUNCTION("""COMPUTED_VALUE"""),"Bone")</f>
        <v>Bone</v>
      </c>
      <c r="Y304" s="62"/>
      <c r="Z304" s="62"/>
      <c r="AA304" s="62"/>
      <c r="AB304" s="63"/>
      <c r="AC304" s="62" t="str">
        <f t="shared" si="2"/>
        <v>Gibdo Bone</v>
      </c>
    </row>
    <row r="305">
      <c r="U305" s="62" t="str">
        <f>IFERROR(__xludf.DUMMYFUNCTION("""COMPUTED_VALUE"""),"30 Luminous Stone")</f>
        <v>30 Luminous Stone</v>
      </c>
      <c r="V305" s="62">
        <f>IFERROR(__xludf.DUMMYFUNCTION("SPLIT(U305,"" "")"),30.0)</f>
        <v>30</v>
      </c>
      <c r="W305" s="62" t="str">
        <f>IFERROR(__xludf.DUMMYFUNCTION("""COMPUTED_VALUE"""),"Luminous")</f>
        <v>Luminous</v>
      </c>
      <c r="X305" s="62" t="str">
        <f>IFERROR(__xludf.DUMMYFUNCTION("""COMPUTED_VALUE"""),"Stone")</f>
        <v>Stone</v>
      </c>
      <c r="Y305" s="62"/>
      <c r="Z305" s="62"/>
      <c r="AA305" s="62"/>
      <c r="AB305" s="63"/>
      <c r="AC305" s="62" t="str">
        <f t="shared" si="2"/>
        <v>Luminous Stone</v>
      </c>
    </row>
    <row r="306">
      <c r="U306" s="62" t="str">
        <f>IFERROR(__xludf.DUMMYFUNCTION("""COMPUTED_VALUE"""),"3 Lynel Guts")</f>
        <v>3 Lynel Guts</v>
      </c>
      <c r="V306" s="62">
        <f>IFERROR(__xludf.DUMMYFUNCTION("SPLIT(U306,"" "")"),3.0)</f>
        <v>3</v>
      </c>
      <c r="W306" s="62" t="str">
        <f>IFERROR(__xludf.DUMMYFUNCTION("""COMPUTED_VALUE"""),"Lynel")</f>
        <v>Lynel</v>
      </c>
      <c r="X306" s="62" t="str">
        <f>IFERROR(__xludf.DUMMYFUNCTION("""COMPUTED_VALUE"""),"Guts")</f>
        <v>Guts</v>
      </c>
      <c r="Y306" s="62"/>
      <c r="Z306" s="62"/>
      <c r="AA306" s="62"/>
      <c r="AB306" s="63"/>
      <c r="AC306" s="62" t="str">
        <f t="shared" si="2"/>
        <v>Lynel Guts</v>
      </c>
    </row>
    <row r="307">
      <c r="U307" s="62" t="str">
        <f>IFERROR(__xludf.DUMMYFUNCTION("""COMPUTED_VALUE"""),"3 Molduga Jaw")</f>
        <v>3 Molduga Jaw</v>
      </c>
      <c r="V307" s="62">
        <f>IFERROR(__xludf.DUMMYFUNCTION("SPLIT(U307,"" "")"),3.0)</f>
        <v>3</v>
      </c>
      <c r="W307" s="62" t="str">
        <f>IFERROR(__xludf.DUMMYFUNCTION("""COMPUTED_VALUE"""),"Molduga")</f>
        <v>Molduga</v>
      </c>
      <c r="X307" s="62" t="str">
        <f>IFERROR(__xludf.DUMMYFUNCTION("""COMPUTED_VALUE"""),"Jaw")</f>
        <v>Jaw</v>
      </c>
      <c r="Y307" s="62"/>
      <c r="Z307" s="62"/>
      <c r="AA307" s="62"/>
      <c r="AB307" s="63"/>
      <c r="AC307" s="62" t="str">
        <f t="shared" si="2"/>
        <v>Molduga Jaw</v>
      </c>
    </row>
    <row r="308">
      <c r="U308" s="62" t="str">
        <f>IFERROR(__xludf.DUMMYFUNCTION("""COMPUTED_VALUE"""),"10 Luminous Stone")</f>
        <v>10 Luminous Stone</v>
      </c>
      <c r="V308" s="62">
        <f>IFERROR(__xludf.DUMMYFUNCTION("SPLIT(U308,"" "")"),10.0)</f>
        <v>10</v>
      </c>
      <c r="W308" s="62" t="str">
        <f>IFERROR(__xludf.DUMMYFUNCTION("""COMPUTED_VALUE"""),"Luminous")</f>
        <v>Luminous</v>
      </c>
      <c r="X308" s="62" t="str">
        <f>IFERROR(__xludf.DUMMYFUNCTION("""COMPUTED_VALUE"""),"Stone")</f>
        <v>Stone</v>
      </c>
      <c r="Y308" s="62"/>
      <c r="Z308" s="62"/>
      <c r="AA308" s="62"/>
      <c r="AB308" s="63"/>
      <c r="AC308" s="62" t="str">
        <f t="shared" si="2"/>
        <v>Luminous Stone</v>
      </c>
    </row>
    <row r="309">
      <c r="U309" s="62" t="str">
        <f>IFERROR(__xludf.DUMMYFUNCTION("""COMPUTED_VALUE"""),"1 Bokoblin Guts")</f>
        <v>1 Bokoblin Guts</v>
      </c>
      <c r="V309" s="62">
        <f>IFERROR(__xludf.DUMMYFUNCTION("SPLIT(U309,"" "")"),1.0)</f>
        <v>1</v>
      </c>
      <c r="W309" s="62" t="str">
        <f>IFERROR(__xludf.DUMMYFUNCTION("""COMPUTED_VALUE"""),"Bokoblin")</f>
        <v>Bokoblin</v>
      </c>
      <c r="X309" s="62" t="str">
        <f>IFERROR(__xludf.DUMMYFUNCTION("""COMPUTED_VALUE"""),"Guts")</f>
        <v>Guts</v>
      </c>
      <c r="Y309" s="62"/>
      <c r="Z309" s="62"/>
      <c r="AA309" s="62"/>
      <c r="AB309" s="63"/>
      <c r="AC309" s="62" t="str">
        <f t="shared" si="2"/>
        <v>Bokoblin Guts</v>
      </c>
    </row>
    <row r="310">
      <c r="U310" s="62" t="str">
        <f>IFERROR(__xludf.DUMMYFUNCTION("""COMPUTED_VALUE"""),"15 Luminous Stone")</f>
        <v>15 Luminous Stone</v>
      </c>
      <c r="V310" s="62">
        <f>IFERROR(__xludf.DUMMYFUNCTION("SPLIT(U310,"" "")"),15.0)</f>
        <v>15</v>
      </c>
      <c r="W310" s="62" t="str">
        <f>IFERROR(__xludf.DUMMYFUNCTION("""COMPUTED_VALUE"""),"Luminous")</f>
        <v>Luminous</v>
      </c>
      <c r="X310" s="62" t="str">
        <f>IFERROR(__xludf.DUMMYFUNCTION("""COMPUTED_VALUE"""),"Stone")</f>
        <v>Stone</v>
      </c>
      <c r="Y310" s="62"/>
      <c r="Z310" s="62"/>
      <c r="AA310" s="62"/>
      <c r="AB310" s="63"/>
      <c r="AC310" s="62" t="str">
        <f t="shared" si="2"/>
        <v>Luminous Stone</v>
      </c>
    </row>
    <row r="311">
      <c r="U311" s="62" t="str">
        <f>IFERROR(__xludf.DUMMYFUNCTION("""COMPUTED_VALUE"""),"2 Moblin Guts")</f>
        <v>2 Moblin Guts</v>
      </c>
      <c r="V311" s="62">
        <f>IFERROR(__xludf.DUMMYFUNCTION("SPLIT(U311,"" "")"),2.0)</f>
        <v>2</v>
      </c>
      <c r="W311" s="62" t="str">
        <f>IFERROR(__xludf.DUMMYFUNCTION("""COMPUTED_VALUE"""),"Moblin")</f>
        <v>Moblin</v>
      </c>
      <c r="X311" s="62" t="str">
        <f>IFERROR(__xludf.DUMMYFUNCTION("""COMPUTED_VALUE"""),"Guts")</f>
        <v>Guts</v>
      </c>
      <c r="Y311" s="62"/>
      <c r="Z311" s="62"/>
      <c r="AA311" s="62"/>
      <c r="AB311" s="63"/>
      <c r="AC311" s="62" t="str">
        <f t="shared" si="2"/>
        <v>Moblin Guts</v>
      </c>
    </row>
    <row r="312">
      <c r="U312" s="62" t="str">
        <f>IFERROR(__xludf.DUMMYFUNCTION("""COMPUTED_VALUE"""),"20 Luminous Stone")</f>
        <v>20 Luminous Stone</v>
      </c>
      <c r="V312" s="62">
        <f>IFERROR(__xludf.DUMMYFUNCTION("SPLIT(U312,"" "")"),20.0)</f>
        <v>20</v>
      </c>
      <c r="W312" s="62" t="str">
        <f>IFERROR(__xludf.DUMMYFUNCTION("""COMPUTED_VALUE"""),"Luminous")</f>
        <v>Luminous</v>
      </c>
      <c r="X312" s="62" t="str">
        <f>IFERROR(__xludf.DUMMYFUNCTION("""COMPUTED_VALUE"""),"Stone")</f>
        <v>Stone</v>
      </c>
      <c r="Y312" s="62"/>
      <c r="Z312" s="62"/>
      <c r="AA312" s="62"/>
      <c r="AB312" s="63"/>
      <c r="AC312" s="62" t="str">
        <f t="shared" si="2"/>
        <v>Luminous Stone</v>
      </c>
    </row>
    <row r="313">
      <c r="U313" s="62" t="str">
        <f>IFERROR(__xludf.DUMMYFUNCTION("""COMPUTED_VALUE"""),"3 Horriblin Guts")</f>
        <v>3 Horriblin Guts</v>
      </c>
      <c r="V313" s="62">
        <f>IFERROR(__xludf.DUMMYFUNCTION("SPLIT(U313,"" "")"),3.0)</f>
        <v>3</v>
      </c>
      <c r="W313" s="62" t="str">
        <f>IFERROR(__xludf.DUMMYFUNCTION("""COMPUTED_VALUE"""),"Horriblin")</f>
        <v>Horriblin</v>
      </c>
      <c r="X313" s="62" t="str">
        <f>IFERROR(__xludf.DUMMYFUNCTION("""COMPUTED_VALUE"""),"Guts")</f>
        <v>Guts</v>
      </c>
      <c r="Y313" s="62"/>
      <c r="Z313" s="62"/>
      <c r="AA313" s="62"/>
      <c r="AB313" s="63"/>
      <c r="AC313" s="62" t="str">
        <f t="shared" si="2"/>
        <v>Horriblin Guts</v>
      </c>
    </row>
    <row r="314">
      <c r="U314" s="62" t="str">
        <f>IFERROR(__xludf.DUMMYFUNCTION("""COMPUTED_VALUE"""),"10 Gibdo Bone")</f>
        <v>10 Gibdo Bone</v>
      </c>
      <c r="V314" s="62">
        <f>IFERROR(__xludf.DUMMYFUNCTION("SPLIT(U314,"" "")"),10.0)</f>
        <v>10</v>
      </c>
      <c r="W314" s="62" t="str">
        <f>IFERROR(__xludf.DUMMYFUNCTION("""COMPUTED_VALUE"""),"Gibdo")</f>
        <v>Gibdo</v>
      </c>
      <c r="X314" s="62" t="str">
        <f>IFERROR(__xludf.DUMMYFUNCTION("""COMPUTED_VALUE"""),"Bone")</f>
        <v>Bone</v>
      </c>
      <c r="Y314" s="62"/>
      <c r="Z314" s="62"/>
      <c r="AA314" s="62"/>
      <c r="AB314" s="63"/>
      <c r="AC314" s="62" t="str">
        <f t="shared" si="2"/>
        <v>Gibdo Bone</v>
      </c>
    </row>
    <row r="315">
      <c r="U315" s="62" t="str">
        <f>IFERROR(__xludf.DUMMYFUNCTION("""COMPUTED_VALUE"""),"30 Luminous Stone")</f>
        <v>30 Luminous Stone</v>
      </c>
      <c r="V315" s="62">
        <f>IFERROR(__xludf.DUMMYFUNCTION("SPLIT(U315,"" "")"),30.0)</f>
        <v>30</v>
      </c>
      <c r="W315" s="62" t="str">
        <f>IFERROR(__xludf.DUMMYFUNCTION("""COMPUTED_VALUE"""),"Luminous")</f>
        <v>Luminous</v>
      </c>
      <c r="X315" s="62" t="str">
        <f>IFERROR(__xludf.DUMMYFUNCTION("""COMPUTED_VALUE"""),"Stone")</f>
        <v>Stone</v>
      </c>
      <c r="Y315" s="62"/>
      <c r="Z315" s="62"/>
      <c r="AA315" s="62"/>
      <c r="AB315" s="63"/>
      <c r="AC315" s="62" t="str">
        <f t="shared" si="2"/>
        <v>Luminous Stone</v>
      </c>
    </row>
    <row r="316">
      <c r="U316" s="62" t="str">
        <f>IFERROR(__xludf.DUMMYFUNCTION("""COMPUTED_VALUE"""),"3 Lynel Guts")</f>
        <v>3 Lynel Guts</v>
      </c>
      <c r="V316" s="62">
        <f>IFERROR(__xludf.DUMMYFUNCTION("SPLIT(U316,"" "")"),3.0)</f>
        <v>3</v>
      </c>
      <c r="W316" s="62" t="str">
        <f>IFERROR(__xludf.DUMMYFUNCTION("""COMPUTED_VALUE"""),"Lynel")</f>
        <v>Lynel</v>
      </c>
      <c r="X316" s="62" t="str">
        <f>IFERROR(__xludf.DUMMYFUNCTION("""COMPUTED_VALUE"""),"Guts")</f>
        <v>Guts</v>
      </c>
      <c r="Y316" s="62"/>
      <c r="Z316" s="62"/>
      <c r="AA316" s="62"/>
      <c r="AB316" s="63"/>
      <c r="AC316" s="62" t="str">
        <f t="shared" si="2"/>
        <v>Lynel Guts</v>
      </c>
    </row>
    <row r="317">
      <c r="U317" s="62" t="str">
        <f>IFERROR(__xludf.DUMMYFUNCTION("""COMPUTED_VALUE"""),"3 Molduga Jaw")</f>
        <v>3 Molduga Jaw</v>
      </c>
      <c r="V317" s="62">
        <f>IFERROR(__xludf.DUMMYFUNCTION("SPLIT(U317,"" "")"),3.0)</f>
        <v>3</v>
      </c>
      <c r="W317" s="62" t="str">
        <f>IFERROR(__xludf.DUMMYFUNCTION("""COMPUTED_VALUE"""),"Molduga")</f>
        <v>Molduga</v>
      </c>
      <c r="X317" s="62" t="str">
        <f>IFERROR(__xludf.DUMMYFUNCTION("""COMPUTED_VALUE"""),"Jaw")</f>
        <v>Jaw</v>
      </c>
      <c r="Y317" s="62"/>
      <c r="Z317" s="62"/>
      <c r="AA317" s="62"/>
      <c r="AB317" s="63"/>
      <c r="AC317" s="62" t="str">
        <f t="shared" si="2"/>
        <v>Molduga Jaw</v>
      </c>
    </row>
    <row r="318">
      <c r="U318" s="62" t="str">
        <f>IFERROR(__xludf.DUMMYFUNCTION("""COMPUTED_VALUE"""),"10 Luminous Stone")</f>
        <v>10 Luminous Stone</v>
      </c>
      <c r="V318" s="62">
        <f>IFERROR(__xludf.DUMMYFUNCTION("SPLIT(U318,"" "")"),10.0)</f>
        <v>10</v>
      </c>
      <c r="W318" s="62" t="str">
        <f>IFERROR(__xludf.DUMMYFUNCTION("""COMPUTED_VALUE"""),"Luminous")</f>
        <v>Luminous</v>
      </c>
      <c r="X318" s="62" t="str">
        <f>IFERROR(__xludf.DUMMYFUNCTION("""COMPUTED_VALUE"""),"Stone")</f>
        <v>Stone</v>
      </c>
      <c r="Y318" s="62"/>
      <c r="Z318" s="62"/>
      <c r="AA318" s="62"/>
      <c r="AB318" s="63"/>
      <c r="AC318" s="62" t="str">
        <f t="shared" si="2"/>
        <v>Luminous Stone</v>
      </c>
    </row>
    <row r="319">
      <c r="U319" s="62" t="str">
        <f>IFERROR(__xludf.DUMMYFUNCTION("""COMPUTED_VALUE"""),"1 Bokoblin Guts")</f>
        <v>1 Bokoblin Guts</v>
      </c>
      <c r="V319" s="62">
        <f>IFERROR(__xludf.DUMMYFUNCTION("SPLIT(U319,"" "")"),1.0)</f>
        <v>1</v>
      </c>
      <c r="W319" s="62" t="str">
        <f>IFERROR(__xludf.DUMMYFUNCTION("""COMPUTED_VALUE"""),"Bokoblin")</f>
        <v>Bokoblin</v>
      </c>
      <c r="X319" s="62" t="str">
        <f>IFERROR(__xludf.DUMMYFUNCTION("""COMPUTED_VALUE"""),"Guts")</f>
        <v>Guts</v>
      </c>
      <c r="Y319" s="62"/>
      <c r="Z319" s="62"/>
      <c r="AA319" s="62"/>
      <c r="AB319" s="63"/>
      <c r="AC319" s="62" t="str">
        <f t="shared" si="2"/>
        <v>Bokoblin Guts</v>
      </c>
    </row>
    <row r="320">
      <c r="U320" s="62" t="str">
        <f>IFERROR(__xludf.DUMMYFUNCTION("""COMPUTED_VALUE"""),"15 Luminous Stone")</f>
        <v>15 Luminous Stone</v>
      </c>
      <c r="V320" s="62">
        <f>IFERROR(__xludf.DUMMYFUNCTION("SPLIT(U320,"" "")"),15.0)</f>
        <v>15</v>
      </c>
      <c r="W320" s="62" t="str">
        <f>IFERROR(__xludf.DUMMYFUNCTION("""COMPUTED_VALUE"""),"Luminous")</f>
        <v>Luminous</v>
      </c>
      <c r="X320" s="62" t="str">
        <f>IFERROR(__xludf.DUMMYFUNCTION("""COMPUTED_VALUE"""),"Stone")</f>
        <v>Stone</v>
      </c>
      <c r="Y320" s="62"/>
      <c r="Z320" s="62"/>
      <c r="AA320" s="62"/>
      <c r="AB320" s="63"/>
      <c r="AC320" s="62" t="str">
        <f t="shared" si="2"/>
        <v>Luminous Stone</v>
      </c>
    </row>
    <row r="321">
      <c r="U321" s="62" t="str">
        <f>IFERROR(__xludf.DUMMYFUNCTION("""COMPUTED_VALUE"""),"2 Moblin Guts")</f>
        <v>2 Moblin Guts</v>
      </c>
      <c r="V321" s="62">
        <f>IFERROR(__xludf.DUMMYFUNCTION("SPLIT(U321,"" "")"),2.0)</f>
        <v>2</v>
      </c>
      <c r="W321" s="62" t="str">
        <f>IFERROR(__xludf.DUMMYFUNCTION("""COMPUTED_VALUE"""),"Moblin")</f>
        <v>Moblin</v>
      </c>
      <c r="X321" s="62" t="str">
        <f>IFERROR(__xludf.DUMMYFUNCTION("""COMPUTED_VALUE"""),"Guts")</f>
        <v>Guts</v>
      </c>
      <c r="Y321" s="62"/>
      <c r="Z321" s="62"/>
      <c r="AA321" s="62"/>
      <c r="AB321" s="63"/>
      <c r="AC321" s="62" t="str">
        <f t="shared" si="2"/>
        <v>Moblin Guts</v>
      </c>
    </row>
    <row r="322">
      <c r="U322" s="62" t="str">
        <f>IFERROR(__xludf.DUMMYFUNCTION("""COMPUTED_VALUE"""),"20 Luminous Stone")</f>
        <v>20 Luminous Stone</v>
      </c>
      <c r="V322" s="62">
        <f>IFERROR(__xludf.DUMMYFUNCTION("SPLIT(U322,"" "")"),20.0)</f>
        <v>20</v>
      </c>
      <c r="W322" s="62" t="str">
        <f>IFERROR(__xludf.DUMMYFUNCTION("""COMPUTED_VALUE"""),"Luminous")</f>
        <v>Luminous</v>
      </c>
      <c r="X322" s="62" t="str">
        <f>IFERROR(__xludf.DUMMYFUNCTION("""COMPUTED_VALUE"""),"Stone")</f>
        <v>Stone</v>
      </c>
      <c r="Y322" s="62"/>
      <c r="Z322" s="62"/>
      <c r="AA322" s="62"/>
      <c r="AB322" s="63"/>
      <c r="AC322" s="62" t="str">
        <f t="shared" si="2"/>
        <v>Luminous Stone</v>
      </c>
    </row>
    <row r="323">
      <c r="U323" s="62" t="str">
        <f>IFERROR(__xludf.DUMMYFUNCTION("""COMPUTED_VALUE"""),"3 Horriblin Guts")</f>
        <v>3 Horriblin Guts</v>
      </c>
      <c r="V323" s="62">
        <f>IFERROR(__xludf.DUMMYFUNCTION("SPLIT(U323,"" "")"),3.0)</f>
        <v>3</v>
      </c>
      <c r="W323" s="62" t="str">
        <f>IFERROR(__xludf.DUMMYFUNCTION("""COMPUTED_VALUE"""),"Horriblin")</f>
        <v>Horriblin</v>
      </c>
      <c r="X323" s="62" t="str">
        <f>IFERROR(__xludf.DUMMYFUNCTION("""COMPUTED_VALUE"""),"Guts")</f>
        <v>Guts</v>
      </c>
      <c r="Y323" s="62"/>
      <c r="Z323" s="62"/>
      <c r="AA323" s="62"/>
      <c r="AB323" s="63"/>
      <c r="AC323" s="62" t="str">
        <f t="shared" si="2"/>
        <v>Horriblin Guts</v>
      </c>
    </row>
    <row r="324">
      <c r="U324" s="62" t="str">
        <f>IFERROR(__xludf.DUMMYFUNCTION("""COMPUTED_VALUE"""),"10 Gibdo Bone")</f>
        <v>10 Gibdo Bone</v>
      </c>
      <c r="V324" s="62">
        <f>IFERROR(__xludf.DUMMYFUNCTION("SPLIT(U324,"" "")"),10.0)</f>
        <v>10</v>
      </c>
      <c r="W324" s="62" t="str">
        <f>IFERROR(__xludf.DUMMYFUNCTION("""COMPUTED_VALUE"""),"Gibdo")</f>
        <v>Gibdo</v>
      </c>
      <c r="X324" s="62" t="str">
        <f>IFERROR(__xludf.DUMMYFUNCTION("""COMPUTED_VALUE"""),"Bone")</f>
        <v>Bone</v>
      </c>
      <c r="Y324" s="62"/>
      <c r="Z324" s="62"/>
      <c r="AA324" s="62"/>
      <c r="AB324" s="63"/>
      <c r="AC324" s="62" t="str">
        <f t="shared" si="2"/>
        <v>Gibdo Bone</v>
      </c>
    </row>
    <row r="325">
      <c r="U325" s="62" t="str">
        <f>IFERROR(__xludf.DUMMYFUNCTION("""COMPUTED_VALUE"""),"30 Luminous Stone")</f>
        <v>30 Luminous Stone</v>
      </c>
      <c r="V325" s="62">
        <f>IFERROR(__xludf.DUMMYFUNCTION("SPLIT(U325,"" "")"),30.0)</f>
        <v>30</v>
      </c>
      <c r="W325" s="62" t="str">
        <f>IFERROR(__xludf.DUMMYFUNCTION("""COMPUTED_VALUE"""),"Luminous")</f>
        <v>Luminous</v>
      </c>
      <c r="X325" s="62" t="str">
        <f>IFERROR(__xludf.DUMMYFUNCTION("""COMPUTED_VALUE"""),"Stone")</f>
        <v>Stone</v>
      </c>
      <c r="Y325" s="62"/>
      <c r="Z325" s="62"/>
      <c r="AA325" s="62"/>
      <c r="AB325" s="63"/>
      <c r="AC325" s="62" t="str">
        <f t="shared" si="2"/>
        <v>Luminous Stone</v>
      </c>
    </row>
    <row r="326">
      <c r="U326" s="62" t="str">
        <f>IFERROR(__xludf.DUMMYFUNCTION("""COMPUTED_VALUE"""),"3 Lynel Guts")</f>
        <v>3 Lynel Guts</v>
      </c>
      <c r="V326" s="62">
        <f>IFERROR(__xludf.DUMMYFUNCTION("SPLIT(U326,"" "")"),3.0)</f>
        <v>3</v>
      </c>
      <c r="W326" s="62" t="str">
        <f>IFERROR(__xludf.DUMMYFUNCTION("""COMPUTED_VALUE"""),"Lynel")</f>
        <v>Lynel</v>
      </c>
      <c r="X326" s="62" t="str">
        <f>IFERROR(__xludf.DUMMYFUNCTION("""COMPUTED_VALUE"""),"Guts")</f>
        <v>Guts</v>
      </c>
      <c r="Y326" s="62"/>
      <c r="Z326" s="62"/>
      <c r="AA326" s="62"/>
      <c r="AB326" s="63"/>
      <c r="AC326" s="62" t="str">
        <f t="shared" si="2"/>
        <v>Lynel Guts</v>
      </c>
    </row>
    <row r="327">
      <c r="U327" s="62" t="str">
        <f>IFERROR(__xludf.DUMMYFUNCTION("""COMPUTED_VALUE"""),"3 Molduga Jaw")</f>
        <v>3 Molduga Jaw</v>
      </c>
      <c r="V327" s="62">
        <f>IFERROR(__xludf.DUMMYFUNCTION("SPLIT(U327,"" "")"),3.0)</f>
        <v>3</v>
      </c>
      <c r="W327" s="62" t="str">
        <f>IFERROR(__xludf.DUMMYFUNCTION("""COMPUTED_VALUE"""),"Molduga")</f>
        <v>Molduga</v>
      </c>
      <c r="X327" s="62" t="str">
        <f>IFERROR(__xludf.DUMMYFUNCTION("""COMPUTED_VALUE"""),"Jaw")</f>
        <v>Jaw</v>
      </c>
      <c r="Y327" s="62"/>
      <c r="Z327" s="62"/>
      <c r="AA327" s="62"/>
      <c r="AB327" s="63"/>
      <c r="AC327" s="62" t="str">
        <f t="shared" si="2"/>
        <v>Molduga Jaw</v>
      </c>
    </row>
    <row r="328">
      <c r="U328" s="62" t="str">
        <f>IFERROR(__xludf.DUMMYFUNCTION("""COMPUTED_VALUE"""),"3 Boss Bokoblin Horn")</f>
        <v>3 Boss Bokoblin Horn</v>
      </c>
      <c r="V328" s="62">
        <f>IFERROR(__xludf.DUMMYFUNCTION("SPLIT(U328,"" "")"),3.0)</f>
        <v>3</v>
      </c>
      <c r="W328" s="62" t="str">
        <f>IFERROR(__xludf.DUMMYFUNCTION("""COMPUTED_VALUE"""),"Boss")</f>
        <v>Boss</v>
      </c>
      <c r="X328" s="62" t="str">
        <f>IFERROR(__xludf.DUMMYFUNCTION("""COMPUTED_VALUE"""),"Bokoblin")</f>
        <v>Bokoblin</v>
      </c>
      <c r="Y328" s="62" t="str">
        <f>IFERROR(__xludf.DUMMYFUNCTION("""COMPUTED_VALUE"""),"Horn")</f>
        <v>Horn</v>
      </c>
      <c r="Z328" s="62"/>
      <c r="AA328" s="62"/>
      <c r="AB328" s="63"/>
      <c r="AC328" s="62" t="str">
        <f t="shared" si="2"/>
        <v>Boss Bokoblin Horn</v>
      </c>
    </row>
    <row r="329">
      <c r="U329" s="62" t="str">
        <f>IFERROR(__xludf.DUMMYFUNCTION("""COMPUTED_VALUE"""),"3 Bokoblin Guts")</f>
        <v>3 Bokoblin Guts</v>
      </c>
      <c r="V329" s="62">
        <f>IFERROR(__xludf.DUMMYFUNCTION("SPLIT(U329,"" "")"),3.0)</f>
        <v>3</v>
      </c>
      <c r="W329" s="62" t="str">
        <f>IFERROR(__xludf.DUMMYFUNCTION("""COMPUTED_VALUE"""),"Bokoblin")</f>
        <v>Bokoblin</v>
      </c>
      <c r="X329" s="62" t="str">
        <f>IFERROR(__xludf.DUMMYFUNCTION("""COMPUTED_VALUE"""),"Guts")</f>
        <v>Guts</v>
      </c>
      <c r="Y329" s="62"/>
      <c r="Z329" s="62"/>
      <c r="AA329" s="62"/>
      <c r="AB329" s="63"/>
      <c r="AC329" s="62" t="str">
        <f t="shared" si="2"/>
        <v>Bokoblin Guts</v>
      </c>
    </row>
    <row r="330">
      <c r="U330" s="62" t="str">
        <f>IFERROR(__xludf.DUMMYFUNCTION("""COMPUTED_VALUE"""),"3 Blue Boss Bokoblin Horn")</f>
        <v>3 Blue Boss Bokoblin Horn</v>
      </c>
      <c r="V330" s="62">
        <f>IFERROR(__xludf.DUMMYFUNCTION("SPLIT(U330,"" "")"),3.0)</f>
        <v>3</v>
      </c>
      <c r="W330" s="62" t="str">
        <f>IFERROR(__xludf.DUMMYFUNCTION("""COMPUTED_VALUE"""),"Blue")</f>
        <v>Blue</v>
      </c>
      <c r="X330" s="62" t="str">
        <f>IFERROR(__xludf.DUMMYFUNCTION("""COMPUTED_VALUE"""),"Boss")</f>
        <v>Boss</v>
      </c>
      <c r="Y330" s="62" t="str">
        <f>IFERROR(__xludf.DUMMYFUNCTION("""COMPUTED_VALUE"""),"Bokoblin")</f>
        <v>Bokoblin</v>
      </c>
      <c r="Z330" s="62" t="str">
        <f>IFERROR(__xludf.DUMMYFUNCTION("""COMPUTED_VALUE"""),"Horn")</f>
        <v>Horn</v>
      </c>
      <c r="AA330" s="62"/>
      <c r="AB330" s="63"/>
      <c r="AC330" s="62" t="str">
        <f t="shared" si="2"/>
        <v>Blue Boss Bokoblin Horn</v>
      </c>
    </row>
    <row r="331">
      <c r="U331" s="62" t="str">
        <f>IFERROR(__xludf.DUMMYFUNCTION("""COMPUTED_VALUE"""),"3 Boss Bokoblin Guts")</f>
        <v>3 Boss Bokoblin Guts</v>
      </c>
      <c r="V331" s="62">
        <f>IFERROR(__xludf.DUMMYFUNCTION("SPLIT(U331,"" "")"),3.0)</f>
        <v>3</v>
      </c>
      <c r="W331" s="62" t="str">
        <f>IFERROR(__xludf.DUMMYFUNCTION("""COMPUTED_VALUE"""),"Boss")</f>
        <v>Boss</v>
      </c>
      <c r="X331" s="62" t="str">
        <f>IFERROR(__xludf.DUMMYFUNCTION("""COMPUTED_VALUE"""),"Bokoblin")</f>
        <v>Bokoblin</v>
      </c>
      <c r="Y331" s="62" t="str">
        <f>IFERROR(__xludf.DUMMYFUNCTION("""COMPUTED_VALUE"""),"Guts")</f>
        <v>Guts</v>
      </c>
      <c r="Z331" s="62"/>
      <c r="AA331" s="62"/>
      <c r="AB331" s="63"/>
      <c r="AC331" s="62" t="str">
        <f t="shared" si="2"/>
        <v>Boss Bokoblin Guts</v>
      </c>
    </row>
    <row r="332">
      <c r="U332" s="62" t="str">
        <f>IFERROR(__xludf.DUMMYFUNCTION("""COMPUTED_VALUE"""),"3 Black Boss Bokoblin Horn")</f>
        <v>3 Black Boss Bokoblin Horn</v>
      </c>
      <c r="V332" s="62">
        <f>IFERROR(__xludf.DUMMYFUNCTION("SPLIT(U332,"" "")"),3.0)</f>
        <v>3</v>
      </c>
      <c r="W332" s="62" t="str">
        <f>IFERROR(__xludf.DUMMYFUNCTION("""COMPUTED_VALUE"""),"Black")</f>
        <v>Black</v>
      </c>
      <c r="X332" s="62" t="str">
        <f>IFERROR(__xludf.DUMMYFUNCTION("""COMPUTED_VALUE"""),"Boss")</f>
        <v>Boss</v>
      </c>
      <c r="Y332" s="62" t="str">
        <f>IFERROR(__xludf.DUMMYFUNCTION("""COMPUTED_VALUE"""),"Bokoblin")</f>
        <v>Bokoblin</v>
      </c>
      <c r="Z332" s="62" t="str">
        <f>IFERROR(__xludf.DUMMYFUNCTION("""COMPUTED_VALUE"""),"Horn")</f>
        <v>Horn</v>
      </c>
      <c r="AA332" s="62"/>
      <c r="AB332" s="63"/>
      <c r="AC332" s="62" t="str">
        <f t="shared" si="2"/>
        <v>Black Boss Bokoblin Horn</v>
      </c>
    </row>
    <row r="333">
      <c r="U333" s="62" t="str">
        <f>IFERROR(__xludf.DUMMYFUNCTION("""COMPUTED_VALUE"""),"3 Hinox Guts")</f>
        <v>3 Hinox Guts</v>
      </c>
      <c r="V333" s="62">
        <f>IFERROR(__xludf.DUMMYFUNCTION("SPLIT(U333,"" "")"),3.0)</f>
        <v>3</v>
      </c>
      <c r="W333" s="62" t="str">
        <f>IFERROR(__xludf.DUMMYFUNCTION("""COMPUTED_VALUE"""),"Hinox")</f>
        <v>Hinox</v>
      </c>
      <c r="X333" s="62" t="str">
        <f>IFERROR(__xludf.DUMMYFUNCTION("""COMPUTED_VALUE"""),"Guts")</f>
        <v>Guts</v>
      </c>
      <c r="Y333" s="62"/>
      <c r="Z333" s="62"/>
      <c r="AA333" s="62"/>
      <c r="AB333" s="63"/>
      <c r="AC333" s="62" t="str">
        <f t="shared" si="2"/>
        <v>Hinox Guts</v>
      </c>
    </row>
    <row r="334">
      <c r="U334" s="62" t="str">
        <f>IFERROR(__xludf.DUMMYFUNCTION("""COMPUTED_VALUE"""),"3 Silver Boss Bokoblin Horn")</f>
        <v>3 Silver Boss Bokoblin Horn</v>
      </c>
      <c r="V334" s="62">
        <f>IFERROR(__xludf.DUMMYFUNCTION("SPLIT(U334,"" "")"),3.0)</f>
        <v>3</v>
      </c>
      <c r="W334" s="62" t="str">
        <f>IFERROR(__xludf.DUMMYFUNCTION("""COMPUTED_VALUE"""),"Silver")</f>
        <v>Silver</v>
      </c>
      <c r="X334" s="62" t="str">
        <f>IFERROR(__xludf.DUMMYFUNCTION("""COMPUTED_VALUE"""),"Boss")</f>
        <v>Boss</v>
      </c>
      <c r="Y334" s="62" t="str">
        <f>IFERROR(__xludf.DUMMYFUNCTION("""COMPUTED_VALUE"""),"Bokoblin")</f>
        <v>Bokoblin</v>
      </c>
      <c r="Z334" s="62" t="str">
        <f>IFERROR(__xludf.DUMMYFUNCTION("""COMPUTED_VALUE"""),"Horn")</f>
        <v>Horn</v>
      </c>
      <c r="AA334" s="62"/>
      <c r="AB334" s="63"/>
      <c r="AC334" s="62" t="str">
        <f t="shared" si="2"/>
        <v>Silver Boss Bokoblin Horn</v>
      </c>
    </row>
    <row r="335">
      <c r="U335" s="62" t="str">
        <f>IFERROR(__xludf.DUMMYFUNCTION("""COMPUTED_VALUE"""),"3 Molduga Guts")</f>
        <v>3 Molduga Guts</v>
      </c>
      <c r="V335" s="62">
        <f>IFERROR(__xludf.DUMMYFUNCTION("SPLIT(U335,"" "")"),3.0)</f>
        <v>3</v>
      </c>
      <c r="W335" s="62" t="str">
        <f>IFERROR(__xludf.DUMMYFUNCTION("""COMPUTED_VALUE"""),"Molduga")</f>
        <v>Molduga</v>
      </c>
      <c r="X335" s="62" t="str">
        <f>IFERROR(__xludf.DUMMYFUNCTION("""COMPUTED_VALUE"""),"Guts")</f>
        <v>Guts</v>
      </c>
      <c r="Y335" s="62"/>
      <c r="Z335" s="62"/>
      <c r="AA335" s="62"/>
      <c r="AB335" s="63"/>
      <c r="AC335" s="62" t="str">
        <f t="shared" si="2"/>
        <v>Molduga Guts</v>
      </c>
    </row>
    <row r="336">
      <c r="U336" s="62" t="str">
        <f>IFERROR(__xludf.DUMMYFUNCTION("""COMPUTED_VALUE"""),"3 Gleeok Guts")</f>
        <v>3 Gleeok Guts</v>
      </c>
      <c r="V336" s="62">
        <f>IFERROR(__xludf.DUMMYFUNCTION("SPLIT(U336,"" "")"),3.0)</f>
        <v>3</v>
      </c>
      <c r="W336" s="62" t="str">
        <f>IFERROR(__xludf.DUMMYFUNCTION("""COMPUTED_VALUE"""),"Gleeok")</f>
        <v>Gleeok</v>
      </c>
      <c r="X336" s="62" t="str">
        <f>IFERROR(__xludf.DUMMYFUNCTION("""COMPUTED_VALUE"""),"Guts")</f>
        <v>Guts</v>
      </c>
      <c r="Y336" s="62"/>
      <c r="Z336" s="62"/>
      <c r="AA336" s="62"/>
      <c r="AB336" s="63"/>
      <c r="AC336" s="62" t="str">
        <f t="shared" si="2"/>
        <v>Gleeok Guts</v>
      </c>
    </row>
    <row r="337">
      <c r="U337" s="62" t="str">
        <f>IFERROR(__xludf.DUMMYFUNCTION("""COMPUTED_VALUE"""),"3 Boss Bokoblin Horn")</f>
        <v>3 Boss Bokoblin Horn</v>
      </c>
      <c r="V337" s="62">
        <f>IFERROR(__xludf.DUMMYFUNCTION("SPLIT(U337,"" "")"),3.0)</f>
        <v>3</v>
      </c>
      <c r="W337" s="62" t="str">
        <f>IFERROR(__xludf.DUMMYFUNCTION("""COMPUTED_VALUE"""),"Boss")</f>
        <v>Boss</v>
      </c>
      <c r="X337" s="62" t="str">
        <f>IFERROR(__xludf.DUMMYFUNCTION("""COMPUTED_VALUE"""),"Bokoblin")</f>
        <v>Bokoblin</v>
      </c>
      <c r="Y337" s="62" t="str">
        <f>IFERROR(__xludf.DUMMYFUNCTION("""COMPUTED_VALUE"""),"Horn")</f>
        <v>Horn</v>
      </c>
      <c r="Z337" s="62"/>
      <c r="AA337" s="62"/>
      <c r="AB337" s="63"/>
      <c r="AC337" s="62" t="str">
        <f t="shared" si="2"/>
        <v>Boss Bokoblin Horn</v>
      </c>
    </row>
    <row r="338">
      <c r="U338" s="62" t="str">
        <f>IFERROR(__xludf.DUMMYFUNCTION("""COMPUTED_VALUE"""),"3 Bokoblin Guts")</f>
        <v>3 Bokoblin Guts</v>
      </c>
      <c r="V338" s="62">
        <f>IFERROR(__xludf.DUMMYFUNCTION("SPLIT(U338,"" "")"),3.0)</f>
        <v>3</v>
      </c>
      <c r="W338" s="62" t="str">
        <f>IFERROR(__xludf.DUMMYFUNCTION("""COMPUTED_VALUE"""),"Bokoblin")</f>
        <v>Bokoblin</v>
      </c>
      <c r="X338" s="62" t="str">
        <f>IFERROR(__xludf.DUMMYFUNCTION("""COMPUTED_VALUE"""),"Guts")</f>
        <v>Guts</v>
      </c>
      <c r="Y338" s="62"/>
      <c r="Z338" s="62"/>
      <c r="AA338" s="62"/>
      <c r="AB338" s="63"/>
      <c r="AC338" s="62" t="str">
        <f t="shared" si="2"/>
        <v>Bokoblin Guts</v>
      </c>
    </row>
    <row r="339">
      <c r="U339" s="62" t="str">
        <f>IFERROR(__xludf.DUMMYFUNCTION("""COMPUTED_VALUE"""),"3 Blue Boss Bokoblin Horn")</f>
        <v>3 Blue Boss Bokoblin Horn</v>
      </c>
      <c r="V339" s="62">
        <f>IFERROR(__xludf.DUMMYFUNCTION("SPLIT(U339,"" "")"),3.0)</f>
        <v>3</v>
      </c>
      <c r="W339" s="62" t="str">
        <f>IFERROR(__xludf.DUMMYFUNCTION("""COMPUTED_VALUE"""),"Blue")</f>
        <v>Blue</v>
      </c>
      <c r="X339" s="62" t="str">
        <f>IFERROR(__xludf.DUMMYFUNCTION("""COMPUTED_VALUE"""),"Boss")</f>
        <v>Boss</v>
      </c>
      <c r="Y339" s="62" t="str">
        <f>IFERROR(__xludf.DUMMYFUNCTION("""COMPUTED_VALUE"""),"Bokoblin")</f>
        <v>Bokoblin</v>
      </c>
      <c r="Z339" s="62" t="str">
        <f>IFERROR(__xludf.DUMMYFUNCTION("""COMPUTED_VALUE"""),"Horn")</f>
        <v>Horn</v>
      </c>
      <c r="AA339" s="62"/>
      <c r="AB339" s="63"/>
      <c r="AC339" s="62" t="str">
        <f t="shared" si="2"/>
        <v>Blue Boss Bokoblin Horn</v>
      </c>
    </row>
    <row r="340">
      <c r="U340" s="62" t="str">
        <f>IFERROR(__xludf.DUMMYFUNCTION("""COMPUTED_VALUE"""),"3 Boss Bokoblin Guts")</f>
        <v>3 Boss Bokoblin Guts</v>
      </c>
      <c r="V340" s="62">
        <f>IFERROR(__xludf.DUMMYFUNCTION("SPLIT(U340,"" "")"),3.0)</f>
        <v>3</v>
      </c>
      <c r="W340" s="62" t="str">
        <f>IFERROR(__xludf.DUMMYFUNCTION("""COMPUTED_VALUE"""),"Boss")</f>
        <v>Boss</v>
      </c>
      <c r="X340" s="62" t="str">
        <f>IFERROR(__xludf.DUMMYFUNCTION("""COMPUTED_VALUE"""),"Bokoblin")</f>
        <v>Bokoblin</v>
      </c>
      <c r="Y340" s="62" t="str">
        <f>IFERROR(__xludf.DUMMYFUNCTION("""COMPUTED_VALUE"""),"Guts")</f>
        <v>Guts</v>
      </c>
      <c r="Z340" s="62"/>
      <c r="AA340" s="62"/>
      <c r="AB340" s="63"/>
      <c r="AC340" s="62" t="str">
        <f t="shared" si="2"/>
        <v>Boss Bokoblin Guts</v>
      </c>
    </row>
    <row r="341">
      <c r="U341" s="62" t="str">
        <f>IFERROR(__xludf.DUMMYFUNCTION("""COMPUTED_VALUE"""),"3 Black Boss Bokoblin Horn")</f>
        <v>3 Black Boss Bokoblin Horn</v>
      </c>
      <c r="V341" s="62">
        <f>IFERROR(__xludf.DUMMYFUNCTION("SPLIT(U341,"" "")"),3.0)</f>
        <v>3</v>
      </c>
      <c r="W341" s="62" t="str">
        <f>IFERROR(__xludf.DUMMYFUNCTION("""COMPUTED_VALUE"""),"Black")</f>
        <v>Black</v>
      </c>
      <c r="X341" s="62" t="str">
        <f>IFERROR(__xludf.DUMMYFUNCTION("""COMPUTED_VALUE"""),"Boss")</f>
        <v>Boss</v>
      </c>
      <c r="Y341" s="62" t="str">
        <f>IFERROR(__xludf.DUMMYFUNCTION("""COMPUTED_VALUE"""),"Bokoblin")</f>
        <v>Bokoblin</v>
      </c>
      <c r="Z341" s="62" t="str">
        <f>IFERROR(__xludf.DUMMYFUNCTION("""COMPUTED_VALUE"""),"Horn")</f>
        <v>Horn</v>
      </c>
      <c r="AA341" s="62"/>
      <c r="AB341" s="63"/>
      <c r="AC341" s="62" t="str">
        <f t="shared" si="2"/>
        <v>Black Boss Bokoblin Horn</v>
      </c>
    </row>
    <row r="342">
      <c r="U342" s="62" t="str">
        <f>IFERROR(__xludf.DUMMYFUNCTION("""COMPUTED_VALUE"""),"3 Hinox Guts")</f>
        <v>3 Hinox Guts</v>
      </c>
      <c r="V342" s="62">
        <f>IFERROR(__xludf.DUMMYFUNCTION("SPLIT(U342,"" "")"),3.0)</f>
        <v>3</v>
      </c>
      <c r="W342" s="62" t="str">
        <f>IFERROR(__xludf.DUMMYFUNCTION("""COMPUTED_VALUE"""),"Hinox")</f>
        <v>Hinox</v>
      </c>
      <c r="X342" s="62" t="str">
        <f>IFERROR(__xludf.DUMMYFUNCTION("""COMPUTED_VALUE"""),"Guts")</f>
        <v>Guts</v>
      </c>
      <c r="Y342" s="62"/>
      <c r="Z342" s="62"/>
      <c r="AA342" s="62"/>
      <c r="AB342" s="63"/>
      <c r="AC342" s="62" t="str">
        <f t="shared" si="2"/>
        <v>Hinox Guts</v>
      </c>
    </row>
    <row r="343">
      <c r="U343" s="62" t="str">
        <f>IFERROR(__xludf.DUMMYFUNCTION("""COMPUTED_VALUE"""),"3 Silver Boss Bokoblin Horn")</f>
        <v>3 Silver Boss Bokoblin Horn</v>
      </c>
      <c r="V343" s="62">
        <f>IFERROR(__xludf.DUMMYFUNCTION("SPLIT(U343,"" "")"),3.0)</f>
        <v>3</v>
      </c>
      <c r="W343" s="62" t="str">
        <f>IFERROR(__xludf.DUMMYFUNCTION("""COMPUTED_VALUE"""),"Silver")</f>
        <v>Silver</v>
      </c>
      <c r="X343" s="62" t="str">
        <f>IFERROR(__xludf.DUMMYFUNCTION("""COMPUTED_VALUE"""),"Boss")</f>
        <v>Boss</v>
      </c>
      <c r="Y343" s="62" t="str">
        <f>IFERROR(__xludf.DUMMYFUNCTION("""COMPUTED_VALUE"""),"Bokoblin")</f>
        <v>Bokoblin</v>
      </c>
      <c r="Z343" s="62" t="str">
        <f>IFERROR(__xludf.DUMMYFUNCTION("""COMPUTED_VALUE"""),"Horn")</f>
        <v>Horn</v>
      </c>
      <c r="AA343" s="62"/>
      <c r="AB343" s="63"/>
      <c r="AC343" s="62" t="str">
        <f t="shared" si="2"/>
        <v>Silver Boss Bokoblin Horn</v>
      </c>
    </row>
    <row r="344">
      <c r="U344" s="62" t="str">
        <f>IFERROR(__xludf.DUMMYFUNCTION("""COMPUTED_VALUE"""),"3 Molduga Guts")</f>
        <v>3 Molduga Guts</v>
      </c>
      <c r="V344" s="62">
        <f>IFERROR(__xludf.DUMMYFUNCTION("SPLIT(U344,"" "")"),3.0)</f>
        <v>3</v>
      </c>
      <c r="W344" s="62" t="str">
        <f>IFERROR(__xludf.DUMMYFUNCTION("""COMPUTED_VALUE"""),"Molduga")</f>
        <v>Molduga</v>
      </c>
      <c r="X344" s="62" t="str">
        <f>IFERROR(__xludf.DUMMYFUNCTION("""COMPUTED_VALUE"""),"Guts")</f>
        <v>Guts</v>
      </c>
      <c r="Y344" s="62"/>
      <c r="Z344" s="62"/>
      <c r="AA344" s="62"/>
      <c r="AB344" s="63"/>
      <c r="AC344" s="62" t="str">
        <f t="shared" si="2"/>
        <v>Molduga Guts</v>
      </c>
    </row>
    <row r="345">
      <c r="U345" s="62" t="str">
        <f>IFERROR(__xludf.DUMMYFUNCTION("""COMPUTED_VALUE"""),"3 Gleeok Guts")</f>
        <v>3 Gleeok Guts</v>
      </c>
      <c r="V345" s="62">
        <f>IFERROR(__xludf.DUMMYFUNCTION("SPLIT(U345,"" "")"),3.0)</f>
        <v>3</v>
      </c>
      <c r="W345" s="62" t="str">
        <f>IFERROR(__xludf.DUMMYFUNCTION("""COMPUTED_VALUE"""),"Gleeok")</f>
        <v>Gleeok</v>
      </c>
      <c r="X345" s="62" t="str">
        <f>IFERROR(__xludf.DUMMYFUNCTION("""COMPUTED_VALUE"""),"Guts")</f>
        <v>Guts</v>
      </c>
      <c r="Y345" s="62"/>
      <c r="Z345" s="62"/>
      <c r="AA345" s="62"/>
      <c r="AB345" s="63"/>
      <c r="AC345" s="62" t="str">
        <f t="shared" si="2"/>
        <v>Gleeok Guts</v>
      </c>
    </row>
    <row r="346">
      <c r="U346" s="62" t="str">
        <f>IFERROR(__xludf.DUMMYFUNCTION("""COMPUTED_VALUE"""),"3 Boss Bokoblin Horn")</f>
        <v>3 Boss Bokoblin Horn</v>
      </c>
      <c r="V346" s="62">
        <f>IFERROR(__xludf.DUMMYFUNCTION("SPLIT(U346,"" "")"),3.0)</f>
        <v>3</v>
      </c>
      <c r="W346" s="62" t="str">
        <f>IFERROR(__xludf.DUMMYFUNCTION("""COMPUTED_VALUE"""),"Boss")</f>
        <v>Boss</v>
      </c>
      <c r="X346" s="62" t="str">
        <f>IFERROR(__xludf.DUMMYFUNCTION("""COMPUTED_VALUE"""),"Bokoblin")</f>
        <v>Bokoblin</v>
      </c>
      <c r="Y346" s="62" t="str">
        <f>IFERROR(__xludf.DUMMYFUNCTION("""COMPUTED_VALUE"""),"Horn")</f>
        <v>Horn</v>
      </c>
      <c r="Z346" s="62"/>
      <c r="AA346" s="62"/>
      <c r="AB346" s="63"/>
      <c r="AC346" s="62" t="str">
        <f t="shared" si="2"/>
        <v>Boss Bokoblin Horn</v>
      </c>
    </row>
    <row r="347">
      <c r="U347" s="62" t="str">
        <f>IFERROR(__xludf.DUMMYFUNCTION("""COMPUTED_VALUE"""),"3 Bokoblin Guts")</f>
        <v>3 Bokoblin Guts</v>
      </c>
      <c r="V347" s="62">
        <f>IFERROR(__xludf.DUMMYFUNCTION("SPLIT(U347,"" "")"),3.0)</f>
        <v>3</v>
      </c>
      <c r="W347" s="62" t="str">
        <f>IFERROR(__xludf.DUMMYFUNCTION("""COMPUTED_VALUE"""),"Bokoblin")</f>
        <v>Bokoblin</v>
      </c>
      <c r="X347" s="62" t="str">
        <f>IFERROR(__xludf.DUMMYFUNCTION("""COMPUTED_VALUE"""),"Guts")</f>
        <v>Guts</v>
      </c>
      <c r="Y347" s="62"/>
      <c r="Z347" s="62"/>
      <c r="AA347" s="62"/>
      <c r="AB347" s="63"/>
      <c r="AC347" s="62" t="str">
        <f t="shared" si="2"/>
        <v>Bokoblin Guts</v>
      </c>
    </row>
    <row r="348">
      <c r="U348" s="62" t="str">
        <f>IFERROR(__xludf.DUMMYFUNCTION("""COMPUTED_VALUE"""),"3 Blue Boss Bokoblin Horn")</f>
        <v>3 Blue Boss Bokoblin Horn</v>
      </c>
      <c r="V348" s="62">
        <f>IFERROR(__xludf.DUMMYFUNCTION("SPLIT(U348,"" "")"),3.0)</f>
        <v>3</v>
      </c>
      <c r="W348" s="62" t="str">
        <f>IFERROR(__xludf.DUMMYFUNCTION("""COMPUTED_VALUE"""),"Blue")</f>
        <v>Blue</v>
      </c>
      <c r="X348" s="62" t="str">
        <f>IFERROR(__xludf.DUMMYFUNCTION("""COMPUTED_VALUE"""),"Boss")</f>
        <v>Boss</v>
      </c>
      <c r="Y348" s="62" t="str">
        <f>IFERROR(__xludf.DUMMYFUNCTION("""COMPUTED_VALUE"""),"Bokoblin")</f>
        <v>Bokoblin</v>
      </c>
      <c r="Z348" s="62" t="str">
        <f>IFERROR(__xludf.DUMMYFUNCTION("""COMPUTED_VALUE"""),"Horn")</f>
        <v>Horn</v>
      </c>
      <c r="AA348" s="62"/>
      <c r="AB348" s="63"/>
      <c r="AC348" s="62" t="str">
        <f t="shared" si="2"/>
        <v>Blue Boss Bokoblin Horn</v>
      </c>
    </row>
    <row r="349">
      <c r="U349" s="62" t="str">
        <f>IFERROR(__xludf.DUMMYFUNCTION("""COMPUTED_VALUE"""),"3 Boss Bokoblin Guts")</f>
        <v>3 Boss Bokoblin Guts</v>
      </c>
      <c r="V349" s="62">
        <f>IFERROR(__xludf.DUMMYFUNCTION("SPLIT(U349,"" "")"),3.0)</f>
        <v>3</v>
      </c>
      <c r="W349" s="62" t="str">
        <f>IFERROR(__xludf.DUMMYFUNCTION("""COMPUTED_VALUE"""),"Boss")</f>
        <v>Boss</v>
      </c>
      <c r="X349" s="62" t="str">
        <f>IFERROR(__xludf.DUMMYFUNCTION("""COMPUTED_VALUE"""),"Bokoblin")</f>
        <v>Bokoblin</v>
      </c>
      <c r="Y349" s="62" t="str">
        <f>IFERROR(__xludf.DUMMYFUNCTION("""COMPUTED_VALUE"""),"Guts")</f>
        <v>Guts</v>
      </c>
      <c r="Z349" s="62"/>
      <c r="AA349" s="62"/>
      <c r="AB349" s="63"/>
      <c r="AC349" s="62" t="str">
        <f t="shared" si="2"/>
        <v>Boss Bokoblin Guts</v>
      </c>
    </row>
    <row r="350">
      <c r="U350" s="62" t="str">
        <f>IFERROR(__xludf.DUMMYFUNCTION("""COMPUTED_VALUE"""),"3 Black Boss Bokoblin Horn")</f>
        <v>3 Black Boss Bokoblin Horn</v>
      </c>
      <c r="V350" s="62">
        <f>IFERROR(__xludf.DUMMYFUNCTION("SPLIT(U350,"" "")"),3.0)</f>
        <v>3</v>
      </c>
      <c r="W350" s="62" t="str">
        <f>IFERROR(__xludf.DUMMYFUNCTION("""COMPUTED_VALUE"""),"Black")</f>
        <v>Black</v>
      </c>
      <c r="X350" s="62" t="str">
        <f>IFERROR(__xludf.DUMMYFUNCTION("""COMPUTED_VALUE"""),"Boss")</f>
        <v>Boss</v>
      </c>
      <c r="Y350" s="62" t="str">
        <f>IFERROR(__xludf.DUMMYFUNCTION("""COMPUTED_VALUE"""),"Bokoblin")</f>
        <v>Bokoblin</v>
      </c>
      <c r="Z350" s="62" t="str">
        <f>IFERROR(__xludf.DUMMYFUNCTION("""COMPUTED_VALUE"""),"Horn")</f>
        <v>Horn</v>
      </c>
      <c r="AA350" s="62"/>
      <c r="AB350" s="63"/>
      <c r="AC350" s="62" t="str">
        <f t="shared" si="2"/>
        <v>Black Boss Bokoblin Horn</v>
      </c>
    </row>
    <row r="351">
      <c r="U351" s="62" t="str">
        <f>IFERROR(__xludf.DUMMYFUNCTION("""COMPUTED_VALUE"""),"3 Hinox Guts")</f>
        <v>3 Hinox Guts</v>
      </c>
      <c r="V351" s="62">
        <f>IFERROR(__xludf.DUMMYFUNCTION("SPLIT(U351,"" "")"),3.0)</f>
        <v>3</v>
      </c>
      <c r="W351" s="62" t="str">
        <f>IFERROR(__xludf.DUMMYFUNCTION("""COMPUTED_VALUE"""),"Hinox")</f>
        <v>Hinox</v>
      </c>
      <c r="X351" s="62" t="str">
        <f>IFERROR(__xludf.DUMMYFUNCTION("""COMPUTED_VALUE"""),"Guts")</f>
        <v>Guts</v>
      </c>
      <c r="Y351" s="62"/>
      <c r="Z351" s="62"/>
      <c r="AA351" s="62"/>
      <c r="AB351" s="63"/>
      <c r="AC351" s="62" t="str">
        <f t="shared" si="2"/>
        <v>Hinox Guts</v>
      </c>
    </row>
    <row r="352">
      <c r="U352" s="62" t="str">
        <f>IFERROR(__xludf.DUMMYFUNCTION("""COMPUTED_VALUE"""),"3 Silver Boss Bokoblin Horn")</f>
        <v>3 Silver Boss Bokoblin Horn</v>
      </c>
      <c r="V352" s="62">
        <f>IFERROR(__xludf.DUMMYFUNCTION("SPLIT(U352,"" "")"),3.0)</f>
        <v>3</v>
      </c>
      <c r="W352" s="62" t="str">
        <f>IFERROR(__xludf.DUMMYFUNCTION("""COMPUTED_VALUE"""),"Silver")</f>
        <v>Silver</v>
      </c>
      <c r="X352" s="62" t="str">
        <f>IFERROR(__xludf.DUMMYFUNCTION("""COMPUTED_VALUE"""),"Boss")</f>
        <v>Boss</v>
      </c>
      <c r="Y352" s="62" t="str">
        <f>IFERROR(__xludf.DUMMYFUNCTION("""COMPUTED_VALUE"""),"Bokoblin")</f>
        <v>Bokoblin</v>
      </c>
      <c r="Z352" s="62" t="str">
        <f>IFERROR(__xludf.DUMMYFUNCTION("""COMPUTED_VALUE"""),"Horn")</f>
        <v>Horn</v>
      </c>
      <c r="AA352" s="62"/>
      <c r="AB352" s="63"/>
      <c r="AC352" s="62" t="str">
        <f t="shared" si="2"/>
        <v>Silver Boss Bokoblin Horn</v>
      </c>
    </row>
    <row r="353">
      <c r="U353" s="62" t="str">
        <f>IFERROR(__xludf.DUMMYFUNCTION("""COMPUTED_VALUE"""),"3 Molduga Guts")</f>
        <v>3 Molduga Guts</v>
      </c>
      <c r="V353" s="62">
        <f>IFERROR(__xludf.DUMMYFUNCTION("SPLIT(U353,"" "")"),3.0)</f>
        <v>3</v>
      </c>
      <c r="W353" s="62" t="str">
        <f>IFERROR(__xludf.DUMMYFUNCTION("""COMPUTED_VALUE"""),"Molduga")</f>
        <v>Molduga</v>
      </c>
      <c r="X353" s="62" t="str">
        <f>IFERROR(__xludf.DUMMYFUNCTION("""COMPUTED_VALUE"""),"Guts")</f>
        <v>Guts</v>
      </c>
      <c r="Y353" s="62"/>
      <c r="Z353" s="62"/>
      <c r="AA353" s="62"/>
      <c r="AB353" s="63"/>
      <c r="AC353" s="62" t="str">
        <f t="shared" si="2"/>
        <v>Molduga Guts</v>
      </c>
    </row>
    <row r="354">
      <c r="U354" s="62" t="str">
        <f>IFERROR(__xludf.DUMMYFUNCTION("""COMPUTED_VALUE"""),"3 Gleeok Guts")</f>
        <v>3 Gleeok Guts</v>
      </c>
      <c r="V354" s="62">
        <f>IFERROR(__xludf.DUMMYFUNCTION("SPLIT(U354,"" "")"),3.0)</f>
        <v>3</v>
      </c>
      <c r="W354" s="62" t="str">
        <f>IFERROR(__xludf.DUMMYFUNCTION("""COMPUTED_VALUE"""),"Gleeok")</f>
        <v>Gleeok</v>
      </c>
      <c r="X354" s="62" t="str">
        <f>IFERROR(__xludf.DUMMYFUNCTION("""COMPUTED_VALUE"""),"Guts")</f>
        <v>Guts</v>
      </c>
      <c r="Y354" s="62"/>
      <c r="Z354" s="62"/>
      <c r="AA354" s="62"/>
      <c r="AB354" s="63"/>
      <c r="AC354" s="62" t="str">
        <f t="shared" si="2"/>
        <v>Gleeok Guts</v>
      </c>
    </row>
    <row r="355">
      <c r="U355" s="62" t="str">
        <f>IFERROR(__xludf.DUMMYFUNCTION("""COMPUTED_VALUE"""),"3 Sticky Lizard")</f>
        <v>3 Sticky Lizard</v>
      </c>
      <c r="V355" s="62">
        <f>IFERROR(__xludf.DUMMYFUNCTION("SPLIT(U355,"" "")"),3.0)</f>
        <v>3</v>
      </c>
      <c r="W355" s="62" t="str">
        <f>IFERROR(__xludf.DUMMYFUNCTION("""COMPUTED_VALUE"""),"Sticky")</f>
        <v>Sticky</v>
      </c>
      <c r="X355" s="62" t="str">
        <f>IFERROR(__xludf.DUMMYFUNCTION("""COMPUTED_VALUE"""),"Lizard")</f>
        <v>Lizard</v>
      </c>
      <c r="Y355" s="62"/>
      <c r="Z355" s="62"/>
      <c r="AA355" s="62"/>
      <c r="AB355" s="63"/>
      <c r="AC355" s="62" t="str">
        <f t="shared" si="2"/>
        <v>Sticky Lizard</v>
      </c>
    </row>
    <row r="356">
      <c r="U356" s="62" t="str">
        <f>IFERROR(__xludf.DUMMYFUNCTION("""COMPUTED_VALUE"""),"5 Horriblin Horn")</f>
        <v>5 Horriblin Horn</v>
      </c>
      <c r="V356" s="62">
        <f>IFERROR(__xludf.DUMMYFUNCTION("SPLIT(U356,"" "")"),5.0)</f>
        <v>5</v>
      </c>
      <c r="W356" s="62" t="str">
        <f>IFERROR(__xludf.DUMMYFUNCTION("""COMPUTED_VALUE"""),"Horriblin")</f>
        <v>Horriblin</v>
      </c>
      <c r="X356" s="62" t="str">
        <f>IFERROR(__xludf.DUMMYFUNCTION("""COMPUTED_VALUE"""),"Horn")</f>
        <v>Horn</v>
      </c>
      <c r="Y356" s="62"/>
      <c r="Z356" s="62"/>
      <c r="AA356" s="62"/>
      <c r="AB356" s="63"/>
      <c r="AC356" s="62" t="str">
        <f t="shared" si="2"/>
        <v>Horriblin Horn</v>
      </c>
    </row>
    <row r="357">
      <c r="U357" s="62" t="str">
        <f>IFERROR(__xludf.DUMMYFUNCTION("""COMPUTED_VALUE"""),"5 Sticky Lizard")</f>
        <v>5 Sticky Lizard</v>
      </c>
      <c r="V357" s="62">
        <f>IFERROR(__xludf.DUMMYFUNCTION("SPLIT(U357,"" "")"),5.0)</f>
        <v>5</v>
      </c>
      <c r="W357" s="62" t="str">
        <f>IFERROR(__xludf.DUMMYFUNCTION("""COMPUTED_VALUE"""),"Sticky")</f>
        <v>Sticky</v>
      </c>
      <c r="X357" s="62" t="str">
        <f>IFERROR(__xludf.DUMMYFUNCTION("""COMPUTED_VALUE"""),"Lizard")</f>
        <v>Lizard</v>
      </c>
      <c r="Y357" s="62"/>
      <c r="Z357" s="62"/>
      <c r="AA357" s="62"/>
      <c r="AB357" s="63"/>
      <c r="AC357" s="62" t="str">
        <f t="shared" si="2"/>
        <v>Sticky Lizard</v>
      </c>
    </row>
    <row r="358">
      <c r="U358" s="62" t="str">
        <f>IFERROR(__xludf.DUMMYFUNCTION("""COMPUTED_VALUE"""),"5 Blue Horriblin Horn")</f>
        <v>5 Blue Horriblin Horn</v>
      </c>
      <c r="V358" s="62">
        <f>IFERROR(__xludf.DUMMYFUNCTION("SPLIT(U358,"" "")"),5.0)</f>
        <v>5</v>
      </c>
      <c r="W358" s="62" t="str">
        <f>IFERROR(__xludf.DUMMYFUNCTION("""COMPUTED_VALUE"""),"Blue")</f>
        <v>Blue</v>
      </c>
      <c r="X358" s="62" t="str">
        <f>IFERROR(__xludf.DUMMYFUNCTION("""COMPUTED_VALUE"""),"Horriblin")</f>
        <v>Horriblin</v>
      </c>
      <c r="Y358" s="62" t="str">
        <f>IFERROR(__xludf.DUMMYFUNCTION("""COMPUTED_VALUE"""),"Horn")</f>
        <v>Horn</v>
      </c>
      <c r="Z358" s="62"/>
      <c r="AA358" s="62"/>
      <c r="AB358" s="63"/>
      <c r="AC358" s="62" t="str">
        <f t="shared" si="2"/>
        <v>Blue Horriblin Horn</v>
      </c>
    </row>
    <row r="359">
      <c r="U359" s="62" t="str">
        <f>IFERROR(__xludf.DUMMYFUNCTION("""COMPUTED_VALUE"""),"5 Sticky Frog")</f>
        <v>5 Sticky Frog</v>
      </c>
      <c r="V359" s="62">
        <f>IFERROR(__xludf.DUMMYFUNCTION("SPLIT(U359,"" "")"),5.0)</f>
        <v>5</v>
      </c>
      <c r="W359" s="62" t="str">
        <f>IFERROR(__xludf.DUMMYFUNCTION("""COMPUTED_VALUE"""),"Sticky")</f>
        <v>Sticky</v>
      </c>
      <c r="X359" s="62" t="str">
        <f>IFERROR(__xludf.DUMMYFUNCTION("""COMPUTED_VALUE"""),"Frog")</f>
        <v>Frog</v>
      </c>
      <c r="Y359" s="62"/>
      <c r="Z359" s="62"/>
      <c r="AA359" s="62"/>
      <c r="AB359" s="63"/>
      <c r="AC359" s="62" t="str">
        <f t="shared" si="2"/>
        <v>Sticky Frog</v>
      </c>
    </row>
    <row r="360">
      <c r="U360" s="62" t="str">
        <f>IFERROR(__xludf.DUMMYFUNCTION("""COMPUTED_VALUE"""),"5 Black Horriblin Horn")</f>
        <v>5 Black Horriblin Horn</v>
      </c>
      <c r="V360" s="62">
        <f>IFERROR(__xludf.DUMMYFUNCTION("SPLIT(U360,"" "")"),5.0)</f>
        <v>5</v>
      </c>
      <c r="W360" s="62" t="str">
        <f>IFERROR(__xludf.DUMMYFUNCTION("""COMPUTED_VALUE"""),"Black")</f>
        <v>Black</v>
      </c>
      <c r="X360" s="62" t="str">
        <f>IFERROR(__xludf.DUMMYFUNCTION("""COMPUTED_VALUE"""),"Horriblin")</f>
        <v>Horriblin</v>
      </c>
      <c r="Y360" s="62" t="str">
        <f>IFERROR(__xludf.DUMMYFUNCTION("""COMPUTED_VALUE"""),"Horn")</f>
        <v>Horn</v>
      </c>
      <c r="Z360" s="62"/>
      <c r="AA360" s="62"/>
      <c r="AB360" s="63"/>
      <c r="AC360" s="62" t="str">
        <f t="shared" si="2"/>
        <v>Black Horriblin Horn</v>
      </c>
    </row>
    <row r="361">
      <c r="U361" s="62" t="str">
        <f>IFERROR(__xludf.DUMMYFUNCTION("""COMPUTED_VALUE"""),"10 Horriblin Guts")</f>
        <v>10 Horriblin Guts</v>
      </c>
      <c r="V361" s="62">
        <f>IFERROR(__xludf.DUMMYFUNCTION("SPLIT(U361,"" "")"),10.0)</f>
        <v>10</v>
      </c>
      <c r="W361" s="62" t="str">
        <f>IFERROR(__xludf.DUMMYFUNCTION("""COMPUTED_VALUE"""),"Horriblin")</f>
        <v>Horriblin</v>
      </c>
      <c r="X361" s="62" t="str">
        <f>IFERROR(__xludf.DUMMYFUNCTION("""COMPUTED_VALUE"""),"Guts")</f>
        <v>Guts</v>
      </c>
      <c r="Y361" s="62"/>
      <c r="Z361" s="62"/>
      <c r="AA361" s="62"/>
      <c r="AB361" s="63"/>
      <c r="AC361" s="62" t="str">
        <f t="shared" si="2"/>
        <v>Horriblin Guts</v>
      </c>
    </row>
    <row r="362">
      <c r="U362" s="62" t="str">
        <f>IFERROR(__xludf.DUMMYFUNCTION("""COMPUTED_VALUE"""),"10 Opal")</f>
        <v>10 Opal</v>
      </c>
      <c r="V362" s="62">
        <f>IFERROR(__xludf.DUMMYFUNCTION("SPLIT(U362,"" "")"),10.0)</f>
        <v>10</v>
      </c>
      <c r="W362" s="62" t="str">
        <f>IFERROR(__xludf.DUMMYFUNCTION("""COMPUTED_VALUE"""),"Opal")</f>
        <v>Opal</v>
      </c>
      <c r="X362" s="62"/>
      <c r="Y362" s="62"/>
      <c r="Z362" s="62"/>
      <c r="AA362" s="62"/>
      <c r="AB362" s="63"/>
      <c r="AC362" s="62" t="str">
        <f t="shared" si="2"/>
        <v>Opal</v>
      </c>
    </row>
    <row r="363">
      <c r="U363" s="62" t="str">
        <f>IFERROR(__xludf.DUMMYFUNCTION("""COMPUTED_VALUE"""),"3 Sticky Lizard")</f>
        <v>3 Sticky Lizard</v>
      </c>
      <c r="V363" s="62">
        <f>IFERROR(__xludf.DUMMYFUNCTION("SPLIT(U363,"" "")"),3.0)</f>
        <v>3</v>
      </c>
      <c r="W363" s="62" t="str">
        <f>IFERROR(__xludf.DUMMYFUNCTION("""COMPUTED_VALUE"""),"Sticky")</f>
        <v>Sticky</v>
      </c>
      <c r="X363" s="62" t="str">
        <f>IFERROR(__xludf.DUMMYFUNCTION("""COMPUTED_VALUE"""),"Lizard")</f>
        <v>Lizard</v>
      </c>
      <c r="Y363" s="62"/>
      <c r="Z363" s="62"/>
      <c r="AA363" s="62"/>
      <c r="AB363" s="63"/>
      <c r="AC363" s="62" t="str">
        <f t="shared" si="2"/>
        <v>Sticky Lizard</v>
      </c>
    </row>
    <row r="364">
      <c r="U364" s="62" t="str">
        <f>IFERROR(__xludf.DUMMYFUNCTION("""COMPUTED_VALUE"""),"5 Horriblin Horn")</f>
        <v>5 Horriblin Horn</v>
      </c>
      <c r="V364" s="62">
        <f>IFERROR(__xludf.DUMMYFUNCTION("SPLIT(U364,"" "")"),5.0)</f>
        <v>5</v>
      </c>
      <c r="W364" s="62" t="str">
        <f>IFERROR(__xludf.DUMMYFUNCTION("""COMPUTED_VALUE"""),"Horriblin")</f>
        <v>Horriblin</v>
      </c>
      <c r="X364" s="62" t="str">
        <f>IFERROR(__xludf.DUMMYFUNCTION("""COMPUTED_VALUE"""),"Horn")</f>
        <v>Horn</v>
      </c>
      <c r="Y364" s="62"/>
      <c r="Z364" s="62"/>
      <c r="AA364" s="62"/>
      <c r="AB364" s="63"/>
      <c r="AC364" s="62" t="str">
        <f t="shared" si="2"/>
        <v>Horriblin Horn</v>
      </c>
    </row>
    <row r="365">
      <c r="U365" s="62" t="str">
        <f>IFERROR(__xludf.DUMMYFUNCTION("""COMPUTED_VALUE"""),"5 Sticky Lizard")</f>
        <v>5 Sticky Lizard</v>
      </c>
      <c r="V365" s="62">
        <f>IFERROR(__xludf.DUMMYFUNCTION("SPLIT(U365,"" "")"),5.0)</f>
        <v>5</v>
      </c>
      <c r="W365" s="62" t="str">
        <f>IFERROR(__xludf.DUMMYFUNCTION("""COMPUTED_VALUE"""),"Sticky")</f>
        <v>Sticky</v>
      </c>
      <c r="X365" s="62" t="str">
        <f>IFERROR(__xludf.DUMMYFUNCTION("""COMPUTED_VALUE"""),"Lizard")</f>
        <v>Lizard</v>
      </c>
      <c r="Y365" s="62"/>
      <c r="Z365" s="62"/>
      <c r="AA365" s="62"/>
      <c r="AB365" s="63"/>
      <c r="AC365" s="62" t="str">
        <f t="shared" si="2"/>
        <v>Sticky Lizard</v>
      </c>
    </row>
    <row r="366">
      <c r="U366" s="62" t="str">
        <f>IFERROR(__xludf.DUMMYFUNCTION("""COMPUTED_VALUE"""),"5 Blue Horriblin Horn")</f>
        <v>5 Blue Horriblin Horn</v>
      </c>
      <c r="V366" s="62">
        <f>IFERROR(__xludf.DUMMYFUNCTION("SPLIT(U366,"" "")"),5.0)</f>
        <v>5</v>
      </c>
      <c r="W366" s="62" t="str">
        <f>IFERROR(__xludf.DUMMYFUNCTION("""COMPUTED_VALUE"""),"Blue")</f>
        <v>Blue</v>
      </c>
      <c r="X366" s="62" t="str">
        <f>IFERROR(__xludf.DUMMYFUNCTION("""COMPUTED_VALUE"""),"Horriblin")</f>
        <v>Horriblin</v>
      </c>
      <c r="Y366" s="62" t="str">
        <f>IFERROR(__xludf.DUMMYFUNCTION("""COMPUTED_VALUE"""),"Horn")</f>
        <v>Horn</v>
      </c>
      <c r="Z366" s="62"/>
      <c r="AA366" s="62"/>
      <c r="AB366" s="63"/>
      <c r="AC366" s="62" t="str">
        <f t="shared" si="2"/>
        <v>Blue Horriblin Horn</v>
      </c>
    </row>
    <row r="367">
      <c r="U367" s="62" t="str">
        <f>IFERROR(__xludf.DUMMYFUNCTION("""COMPUTED_VALUE"""),"5 Sticky Frog")</f>
        <v>5 Sticky Frog</v>
      </c>
      <c r="V367" s="62">
        <f>IFERROR(__xludf.DUMMYFUNCTION("SPLIT(U367,"" "")"),5.0)</f>
        <v>5</v>
      </c>
      <c r="W367" s="62" t="str">
        <f>IFERROR(__xludf.DUMMYFUNCTION("""COMPUTED_VALUE"""),"Sticky")</f>
        <v>Sticky</v>
      </c>
      <c r="X367" s="62" t="str">
        <f>IFERROR(__xludf.DUMMYFUNCTION("""COMPUTED_VALUE"""),"Frog")</f>
        <v>Frog</v>
      </c>
      <c r="Y367" s="62"/>
      <c r="Z367" s="62"/>
      <c r="AA367" s="62"/>
      <c r="AB367" s="63"/>
      <c r="AC367" s="62" t="str">
        <f t="shared" si="2"/>
        <v>Sticky Frog</v>
      </c>
    </row>
    <row r="368">
      <c r="U368" s="62" t="str">
        <f>IFERROR(__xludf.DUMMYFUNCTION("""COMPUTED_VALUE"""),"5 Black Horriblin Horn")</f>
        <v>5 Black Horriblin Horn</v>
      </c>
      <c r="V368" s="62">
        <f>IFERROR(__xludf.DUMMYFUNCTION("SPLIT(U368,"" "")"),5.0)</f>
        <v>5</v>
      </c>
      <c r="W368" s="62" t="str">
        <f>IFERROR(__xludf.DUMMYFUNCTION("""COMPUTED_VALUE"""),"Black")</f>
        <v>Black</v>
      </c>
      <c r="X368" s="62" t="str">
        <f>IFERROR(__xludf.DUMMYFUNCTION("""COMPUTED_VALUE"""),"Horriblin")</f>
        <v>Horriblin</v>
      </c>
      <c r="Y368" s="62" t="str">
        <f>IFERROR(__xludf.DUMMYFUNCTION("""COMPUTED_VALUE"""),"Horn")</f>
        <v>Horn</v>
      </c>
      <c r="Z368" s="62"/>
      <c r="AA368" s="62"/>
      <c r="AB368" s="63"/>
      <c r="AC368" s="62" t="str">
        <f t="shared" si="2"/>
        <v>Black Horriblin Horn</v>
      </c>
    </row>
    <row r="369">
      <c r="U369" s="62" t="str">
        <f>IFERROR(__xludf.DUMMYFUNCTION("""COMPUTED_VALUE"""),"10 Horriblin Guts")</f>
        <v>10 Horriblin Guts</v>
      </c>
      <c r="V369" s="62">
        <f>IFERROR(__xludf.DUMMYFUNCTION("SPLIT(U369,"" "")"),10.0)</f>
        <v>10</v>
      </c>
      <c r="W369" s="62" t="str">
        <f>IFERROR(__xludf.DUMMYFUNCTION("""COMPUTED_VALUE"""),"Horriblin")</f>
        <v>Horriblin</v>
      </c>
      <c r="X369" s="62" t="str">
        <f>IFERROR(__xludf.DUMMYFUNCTION("""COMPUTED_VALUE"""),"Guts")</f>
        <v>Guts</v>
      </c>
      <c r="Y369" s="62"/>
      <c r="Z369" s="62"/>
      <c r="AA369" s="62"/>
      <c r="AB369" s="63"/>
      <c r="AC369" s="62" t="str">
        <f t="shared" si="2"/>
        <v>Horriblin Guts</v>
      </c>
    </row>
    <row r="370">
      <c r="U370" s="62" t="str">
        <f>IFERROR(__xludf.DUMMYFUNCTION("""COMPUTED_VALUE"""),"10 Opal")</f>
        <v>10 Opal</v>
      </c>
      <c r="V370" s="62">
        <f>IFERROR(__xludf.DUMMYFUNCTION("SPLIT(U370,"" "")"),10.0)</f>
        <v>10</v>
      </c>
      <c r="W370" s="62" t="str">
        <f>IFERROR(__xludf.DUMMYFUNCTION("""COMPUTED_VALUE"""),"Opal")</f>
        <v>Opal</v>
      </c>
      <c r="X370" s="62"/>
      <c r="Y370" s="62"/>
      <c r="Z370" s="62"/>
      <c r="AA370" s="62"/>
      <c r="AB370" s="63"/>
      <c r="AC370" s="62" t="str">
        <f t="shared" si="2"/>
        <v>Opal</v>
      </c>
    </row>
    <row r="371">
      <c r="U371" s="62" t="str">
        <f>IFERROR(__xludf.DUMMYFUNCTION("""COMPUTED_VALUE"""),"3 Sticky Lizard")</f>
        <v>3 Sticky Lizard</v>
      </c>
      <c r="V371" s="62">
        <f>IFERROR(__xludf.DUMMYFUNCTION("SPLIT(U371,"" "")"),3.0)</f>
        <v>3</v>
      </c>
      <c r="W371" s="62" t="str">
        <f>IFERROR(__xludf.DUMMYFUNCTION("""COMPUTED_VALUE"""),"Sticky")</f>
        <v>Sticky</v>
      </c>
      <c r="X371" s="62" t="str">
        <f>IFERROR(__xludf.DUMMYFUNCTION("""COMPUTED_VALUE"""),"Lizard")</f>
        <v>Lizard</v>
      </c>
      <c r="Y371" s="62"/>
      <c r="Z371" s="62"/>
      <c r="AA371" s="62"/>
      <c r="AB371" s="63"/>
      <c r="AC371" s="62" t="str">
        <f t="shared" si="2"/>
        <v>Sticky Lizard</v>
      </c>
    </row>
    <row r="372">
      <c r="U372" s="62" t="str">
        <f>IFERROR(__xludf.DUMMYFUNCTION("""COMPUTED_VALUE"""),"5 Horriblin Horn")</f>
        <v>5 Horriblin Horn</v>
      </c>
      <c r="V372" s="62">
        <f>IFERROR(__xludf.DUMMYFUNCTION("SPLIT(U372,"" "")"),5.0)</f>
        <v>5</v>
      </c>
      <c r="W372" s="62" t="str">
        <f>IFERROR(__xludf.DUMMYFUNCTION("""COMPUTED_VALUE"""),"Horriblin")</f>
        <v>Horriblin</v>
      </c>
      <c r="X372" s="62" t="str">
        <f>IFERROR(__xludf.DUMMYFUNCTION("""COMPUTED_VALUE"""),"Horn")</f>
        <v>Horn</v>
      </c>
      <c r="Y372" s="62"/>
      <c r="Z372" s="62"/>
      <c r="AA372" s="62"/>
      <c r="AB372" s="63"/>
      <c r="AC372" s="62" t="str">
        <f t="shared" si="2"/>
        <v>Horriblin Horn</v>
      </c>
    </row>
    <row r="373">
      <c r="U373" s="62" t="str">
        <f>IFERROR(__xludf.DUMMYFUNCTION("""COMPUTED_VALUE"""),"5 Sticky Lizard")</f>
        <v>5 Sticky Lizard</v>
      </c>
      <c r="V373" s="62">
        <f>IFERROR(__xludf.DUMMYFUNCTION("SPLIT(U373,"" "")"),5.0)</f>
        <v>5</v>
      </c>
      <c r="W373" s="62" t="str">
        <f>IFERROR(__xludf.DUMMYFUNCTION("""COMPUTED_VALUE"""),"Sticky")</f>
        <v>Sticky</v>
      </c>
      <c r="X373" s="62" t="str">
        <f>IFERROR(__xludf.DUMMYFUNCTION("""COMPUTED_VALUE"""),"Lizard")</f>
        <v>Lizard</v>
      </c>
      <c r="Y373" s="62"/>
      <c r="Z373" s="62"/>
      <c r="AA373" s="62"/>
      <c r="AB373" s="63"/>
      <c r="AC373" s="62" t="str">
        <f t="shared" si="2"/>
        <v>Sticky Lizard</v>
      </c>
    </row>
    <row r="374">
      <c r="U374" s="62" t="str">
        <f>IFERROR(__xludf.DUMMYFUNCTION("""COMPUTED_VALUE"""),"5 Blue Horriblin Horn")</f>
        <v>5 Blue Horriblin Horn</v>
      </c>
      <c r="V374" s="62">
        <f>IFERROR(__xludf.DUMMYFUNCTION("SPLIT(U374,"" "")"),5.0)</f>
        <v>5</v>
      </c>
      <c r="W374" s="62" t="str">
        <f>IFERROR(__xludf.DUMMYFUNCTION("""COMPUTED_VALUE"""),"Blue")</f>
        <v>Blue</v>
      </c>
      <c r="X374" s="62" t="str">
        <f>IFERROR(__xludf.DUMMYFUNCTION("""COMPUTED_VALUE"""),"Horriblin")</f>
        <v>Horriblin</v>
      </c>
      <c r="Y374" s="62" t="str">
        <f>IFERROR(__xludf.DUMMYFUNCTION("""COMPUTED_VALUE"""),"Horn")</f>
        <v>Horn</v>
      </c>
      <c r="Z374" s="62"/>
      <c r="AA374" s="62"/>
      <c r="AB374" s="63"/>
      <c r="AC374" s="62" t="str">
        <f t="shared" si="2"/>
        <v>Blue Horriblin Horn</v>
      </c>
    </row>
    <row r="375">
      <c r="U375" s="62" t="str">
        <f>IFERROR(__xludf.DUMMYFUNCTION("""COMPUTED_VALUE"""),"5 Sticky Frog")</f>
        <v>5 Sticky Frog</v>
      </c>
      <c r="V375" s="62">
        <f>IFERROR(__xludf.DUMMYFUNCTION("SPLIT(U375,"" "")"),5.0)</f>
        <v>5</v>
      </c>
      <c r="W375" s="62" t="str">
        <f>IFERROR(__xludf.DUMMYFUNCTION("""COMPUTED_VALUE"""),"Sticky")</f>
        <v>Sticky</v>
      </c>
      <c r="X375" s="62" t="str">
        <f>IFERROR(__xludf.DUMMYFUNCTION("""COMPUTED_VALUE"""),"Frog")</f>
        <v>Frog</v>
      </c>
      <c r="Y375" s="62"/>
      <c r="Z375" s="62"/>
      <c r="AA375" s="62"/>
      <c r="AB375" s="63"/>
      <c r="AC375" s="62" t="str">
        <f t="shared" si="2"/>
        <v>Sticky Frog</v>
      </c>
    </row>
    <row r="376">
      <c r="U376" s="62" t="str">
        <f>IFERROR(__xludf.DUMMYFUNCTION("""COMPUTED_VALUE"""),"5 Black Horriblin Horn")</f>
        <v>5 Black Horriblin Horn</v>
      </c>
      <c r="V376" s="62">
        <f>IFERROR(__xludf.DUMMYFUNCTION("SPLIT(U376,"" "")"),5.0)</f>
        <v>5</v>
      </c>
      <c r="W376" s="62" t="str">
        <f>IFERROR(__xludf.DUMMYFUNCTION("""COMPUTED_VALUE"""),"Black")</f>
        <v>Black</v>
      </c>
      <c r="X376" s="62" t="str">
        <f>IFERROR(__xludf.DUMMYFUNCTION("""COMPUTED_VALUE"""),"Horriblin")</f>
        <v>Horriblin</v>
      </c>
      <c r="Y376" s="62" t="str">
        <f>IFERROR(__xludf.DUMMYFUNCTION("""COMPUTED_VALUE"""),"Horn")</f>
        <v>Horn</v>
      </c>
      <c r="Z376" s="62"/>
      <c r="AA376" s="62"/>
      <c r="AB376" s="63"/>
      <c r="AC376" s="62" t="str">
        <f t="shared" si="2"/>
        <v>Black Horriblin Horn</v>
      </c>
    </row>
    <row r="377">
      <c r="U377" s="62" t="str">
        <f>IFERROR(__xludf.DUMMYFUNCTION("""COMPUTED_VALUE"""),"10 Horriblin Guts")</f>
        <v>10 Horriblin Guts</v>
      </c>
      <c r="V377" s="62">
        <f>IFERROR(__xludf.DUMMYFUNCTION("SPLIT(U377,"" "")"),10.0)</f>
        <v>10</v>
      </c>
      <c r="W377" s="62" t="str">
        <f>IFERROR(__xludf.DUMMYFUNCTION("""COMPUTED_VALUE"""),"Horriblin")</f>
        <v>Horriblin</v>
      </c>
      <c r="X377" s="62" t="str">
        <f>IFERROR(__xludf.DUMMYFUNCTION("""COMPUTED_VALUE"""),"Guts")</f>
        <v>Guts</v>
      </c>
      <c r="Y377" s="62"/>
      <c r="Z377" s="62"/>
      <c r="AA377" s="62"/>
      <c r="AB377" s="63"/>
      <c r="AC377" s="62" t="str">
        <f t="shared" si="2"/>
        <v>Horriblin Guts</v>
      </c>
    </row>
    <row r="378">
      <c r="U378" s="62" t="str">
        <f>IFERROR(__xludf.DUMMYFUNCTION("""COMPUTED_VALUE"""),"10 Opal")</f>
        <v>10 Opal</v>
      </c>
      <c r="V378" s="62">
        <f>IFERROR(__xludf.DUMMYFUNCTION("SPLIT(U378,"" "")"),10.0)</f>
        <v>10</v>
      </c>
      <c r="W378" s="62" t="str">
        <f>IFERROR(__xludf.DUMMYFUNCTION("""COMPUTED_VALUE"""),"Opal")</f>
        <v>Opal</v>
      </c>
      <c r="X378" s="62"/>
      <c r="Y378" s="62"/>
      <c r="Z378" s="62"/>
      <c r="AA378" s="62"/>
      <c r="AB378" s="63"/>
      <c r="AC378" s="62" t="str">
        <f t="shared" si="2"/>
        <v>Opal</v>
      </c>
    </row>
    <row r="379">
      <c r="U379" s="62" t="str">
        <f>IFERROR(__xludf.DUMMYFUNCTION("""COMPUTED_VALUE"""),"3 Keese Wing")</f>
        <v>3 Keese Wing</v>
      </c>
      <c r="V379" s="62">
        <f>IFERROR(__xludf.DUMMYFUNCTION("SPLIT(U379,"" "")"),3.0)</f>
        <v>3</v>
      </c>
      <c r="W379" s="62" t="str">
        <f>IFERROR(__xludf.DUMMYFUNCTION("""COMPUTED_VALUE"""),"Keese")</f>
        <v>Keese</v>
      </c>
      <c r="X379" s="62" t="str">
        <f>IFERROR(__xludf.DUMMYFUNCTION("""COMPUTED_VALUE"""),"Wing")</f>
        <v>Wing</v>
      </c>
      <c r="Y379" s="62"/>
      <c r="Z379" s="62"/>
      <c r="AA379" s="62"/>
      <c r="AB379" s="63"/>
      <c r="AC379" s="62" t="str">
        <f t="shared" si="2"/>
        <v>Keese Wing</v>
      </c>
    </row>
    <row r="380">
      <c r="U380" s="62" t="str">
        <f>IFERROR(__xludf.DUMMYFUNCTION("""COMPUTED_VALUE"""),"6 Aerocuda Eyeball")</f>
        <v>6 Aerocuda Eyeball</v>
      </c>
      <c r="V380" s="62">
        <f>IFERROR(__xludf.DUMMYFUNCTION("SPLIT(U380,"" "")"),6.0)</f>
        <v>6</v>
      </c>
      <c r="W380" s="62" t="str">
        <f>IFERROR(__xludf.DUMMYFUNCTION("""COMPUTED_VALUE"""),"Aerocuda")</f>
        <v>Aerocuda</v>
      </c>
      <c r="X380" s="62" t="str">
        <f>IFERROR(__xludf.DUMMYFUNCTION("""COMPUTED_VALUE"""),"Eyeball")</f>
        <v>Eyeball</v>
      </c>
      <c r="Y380" s="62"/>
      <c r="Z380" s="62"/>
      <c r="AA380" s="62"/>
      <c r="AB380" s="63"/>
      <c r="AC380" s="62" t="str">
        <f t="shared" si="2"/>
        <v>Aerocuda Eyeball</v>
      </c>
    </row>
    <row r="381">
      <c r="U381" s="62" t="str">
        <f>IFERROR(__xludf.DUMMYFUNCTION("""COMPUTED_VALUE"""),"5 Keese Wing")</f>
        <v>5 Keese Wing</v>
      </c>
      <c r="V381" s="62">
        <f>IFERROR(__xludf.DUMMYFUNCTION("SPLIT(U381,"" "")"),5.0)</f>
        <v>5</v>
      </c>
      <c r="W381" s="62" t="str">
        <f>IFERROR(__xludf.DUMMYFUNCTION("""COMPUTED_VALUE"""),"Keese")</f>
        <v>Keese</v>
      </c>
      <c r="X381" s="62" t="str">
        <f>IFERROR(__xludf.DUMMYFUNCTION("""COMPUTED_VALUE"""),"Wing")</f>
        <v>Wing</v>
      </c>
      <c r="Y381" s="62"/>
      <c r="Z381" s="62"/>
      <c r="AA381" s="62"/>
      <c r="AB381" s="63"/>
      <c r="AC381" s="62" t="str">
        <f t="shared" si="2"/>
        <v>Keese Wing</v>
      </c>
    </row>
    <row r="382">
      <c r="U382" s="62" t="str">
        <f>IFERROR(__xludf.DUMMYFUNCTION("""COMPUTED_VALUE"""),"6 Aerocuda Wing")</f>
        <v>6 Aerocuda Wing</v>
      </c>
      <c r="V382" s="62">
        <f>IFERROR(__xludf.DUMMYFUNCTION("SPLIT(U382,"" "")"),6.0)</f>
        <v>6</v>
      </c>
      <c r="W382" s="62" t="str">
        <f>IFERROR(__xludf.DUMMYFUNCTION("""COMPUTED_VALUE"""),"Aerocuda")</f>
        <v>Aerocuda</v>
      </c>
      <c r="X382" s="62" t="str">
        <f>IFERROR(__xludf.DUMMYFUNCTION("""COMPUTED_VALUE"""),"Wing")</f>
        <v>Wing</v>
      </c>
      <c r="Y382" s="62"/>
      <c r="Z382" s="62"/>
      <c r="AA382" s="62"/>
      <c r="AB382" s="63"/>
      <c r="AC382" s="62" t="str">
        <f t="shared" si="2"/>
        <v>Aerocuda Wing</v>
      </c>
    </row>
    <row r="383">
      <c r="U383" s="62" t="str">
        <f>IFERROR(__xludf.DUMMYFUNCTION("""COMPUTED_VALUE"""),"8 Aerocuda Eyeball")</f>
        <v>8 Aerocuda Eyeball</v>
      </c>
      <c r="V383" s="62">
        <f>IFERROR(__xludf.DUMMYFUNCTION("SPLIT(U383,"" "")"),8.0)</f>
        <v>8</v>
      </c>
      <c r="W383" s="62" t="str">
        <f>IFERROR(__xludf.DUMMYFUNCTION("""COMPUTED_VALUE"""),"Aerocuda")</f>
        <v>Aerocuda</v>
      </c>
      <c r="X383" s="62" t="str">
        <f>IFERROR(__xludf.DUMMYFUNCTION("""COMPUTED_VALUE"""),"Eyeball")</f>
        <v>Eyeball</v>
      </c>
      <c r="Y383" s="62"/>
      <c r="Z383" s="62"/>
      <c r="AA383" s="62"/>
      <c r="AB383" s="63"/>
      <c r="AC383" s="62" t="str">
        <f t="shared" si="2"/>
        <v>Aerocuda Eyeball</v>
      </c>
    </row>
    <row r="384">
      <c r="U384" s="62" t="str">
        <f>IFERROR(__xludf.DUMMYFUNCTION("""COMPUTED_VALUE"""),"12 Gleeok Wing")</f>
        <v>12 Gleeok Wing</v>
      </c>
      <c r="V384" s="62">
        <f>IFERROR(__xludf.DUMMYFUNCTION("SPLIT(U384,"" "")"),12.0)</f>
        <v>12</v>
      </c>
      <c r="W384" s="62" t="str">
        <f>IFERROR(__xludf.DUMMYFUNCTION("""COMPUTED_VALUE"""),"Gleeok")</f>
        <v>Gleeok</v>
      </c>
      <c r="X384" s="62" t="str">
        <f>IFERROR(__xludf.DUMMYFUNCTION("""COMPUTED_VALUE"""),"Wing")</f>
        <v>Wing</v>
      </c>
      <c r="Y384" s="62"/>
      <c r="Z384" s="62"/>
      <c r="AA384" s="62"/>
      <c r="AB384" s="63"/>
      <c r="AC384" s="62" t="str">
        <f t="shared" si="2"/>
        <v>Gleeok Wing</v>
      </c>
    </row>
    <row r="385">
      <c r="U385" s="62" t="str">
        <f>IFERROR(__xludf.DUMMYFUNCTION("""COMPUTED_VALUE"""),"10 Aerocuda Wing")</f>
        <v>10 Aerocuda Wing</v>
      </c>
      <c r="V385" s="62">
        <f>IFERROR(__xludf.DUMMYFUNCTION("SPLIT(U385,"" "")"),10.0)</f>
        <v>10</v>
      </c>
      <c r="W385" s="62" t="str">
        <f>IFERROR(__xludf.DUMMYFUNCTION("""COMPUTED_VALUE"""),"Aerocuda")</f>
        <v>Aerocuda</v>
      </c>
      <c r="X385" s="62" t="str">
        <f>IFERROR(__xludf.DUMMYFUNCTION("""COMPUTED_VALUE"""),"Wing")</f>
        <v>Wing</v>
      </c>
      <c r="Y385" s="62"/>
      <c r="Z385" s="62"/>
      <c r="AA385" s="62"/>
      <c r="AB385" s="63"/>
      <c r="AC385" s="62" t="str">
        <f t="shared" si="2"/>
        <v>Aerocuda Wing</v>
      </c>
    </row>
    <row r="386">
      <c r="U386" s="62" t="str">
        <f>IFERROR(__xludf.DUMMYFUNCTION("""COMPUTED_VALUE"""),"8 Gibdo Wing")</f>
        <v>8 Gibdo Wing</v>
      </c>
      <c r="V386" s="62">
        <f>IFERROR(__xludf.DUMMYFUNCTION("SPLIT(U386,"" "")"),8.0)</f>
        <v>8</v>
      </c>
      <c r="W386" s="62" t="str">
        <f>IFERROR(__xludf.DUMMYFUNCTION("""COMPUTED_VALUE"""),"Gibdo")</f>
        <v>Gibdo</v>
      </c>
      <c r="X386" s="62" t="str">
        <f>IFERROR(__xludf.DUMMYFUNCTION("""COMPUTED_VALUE"""),"Wing")</f>
        <v>Wing</v>
      </c>
      <c r="Y386" s="62"/>
      <c r="Z386" s="62"/>
      <c r="AA386" s="62"/>
      <c r="AB386" s="63"/>
      <c r="AC386" s="62" t="str">
        <f t="shared" si="2"/>
        <v>Gibdo Wing</v>
      </c>
    </row>
    <row r="387">
      <c r="U387" s="62" t="str">
        <f>IFERROR(__xludf.DUMMYFUNCTION("""COMPUTED_VALUE"""),"3 Keese Wing")</f>
        <v>3 Keese Wing</v>
      </c>
      <c r="V387" s="62">
        <f>IFERROR(__xludf.DUMMYFUNCTION("SPLIT(U387,"" "")"),3.0)</f>
        <v>3</v>
      </c>
      <c r="W387" s="62" t="str">
        <f>IFERROR(__xludf.DUMMYFUNCTION("""COMPUTED_VALUE"""),"Keese")</f>
        <v>Keese</v>
      </c>
      <c r="X387" s="62" t="str">
        <f>IFERROR(__xludf.DUMMYFUNCTION("""COMPUTED_VALUE"""),"Wing")</f>
        <v>Wing</v>
      </c>
      <c r="Y387" s="62"/>
      <c r="Z387" s="62"/>
      <c r="AA387" s="62"/>
      <c r="AB387" s="63"/>
      <c r="AC387" s="62" t="str">
        <f t="shared" si="2"/>
        <v>Keese Wing</v>
      </c>
    </row>
    <row r="388">
      <c r="U388" s="62" t="str">
        <f>IFERROR(__xludf.DUMMYFUNCTION("""COMPUTED_VALUE"""),"6 Aerocuda Eyeball")</f>
        <v>6 Aerocuda Eyeball</v>
      </c>
      <c r="V388" s="62">
        <f>IFERROR(__xludf.DUMMYFUNCTION("SPLIT(U388,"" "")"),6.0)</f>
        <v>6</v>
      </c>
      <c r="W388" s="62" t="str">
        <f>IFERROR(__xludf.DUMMYFUNCTION("""COMPUTED_VALUE"""),"Aerocuda")</f>
        <v>Aerocuda</v>
      </c>
      <c r="X388" s="62" t="str">
        <f>IFERROR(__xludf.DUMMYFUNCTION("""COMPUTED_VALUE"""),"Eyeball")</f>
        <v>Eyeball</v>
      </c>
      <c r="Y388" s="62"/>
      <c r="Z388" s="62"/>
      <c r="AA388" s="62"/>
      <c r="AB388" s="63"/>
      <c r="AC388" s="62" t="str">
        <f t="shared" si="2"/>
        <v>Aerocuda Eyeball</v>
      </c>
    </row>
    <row r="389">
      <c r="U389" s="62" t="str">
        <f>IFERROR(__xludf.DUMMYFUNCTION("""COMPUTED_VALUE"""),"5 Keese Wing")</f>
        <v>5 Keese Wing</v>
      </c>
      <c r="V389" s="62">
        <f>IFERROR(__xludf.DUMMYFUNCTION("SPLIT(U389,"" "")"),5.0)</f>
        <v>5</v>
      </c>
      <c r="W389" s="62" t="str">
        <f>IFERROR(__xludf.DUMMYFUNCTION("""COMPUTED_VALUE"""),"Keese")</f>
        <v>Keese</v>
      </c>
      <c r="X389" s="62" t="str">
        <f>IFERROR(__xludf.DUMMYFUNCTION("""COMPUTED_VALUE"""),"Wing")</f>
        <v>Wing</v>
      </c>
      <c r="Y389" s="62"/>
      <c r="Z389" s="62"/>
      <c r="AA389" s="62"/>
      <c r="AB389" s="63"/>
      <c r="AC389" s="62" t="str">
        <f t="shared" si="2"/>
        <v>Keese Wing</v>
      </c>
    </row>
    <row r="390">
      <c r="U390" s="62" t="str">
        <f>IFERROR(__xludf.DUMMYFUNCTION("""COMPUTED_VALUE"""),"6 Aerocuda Wing")</f>
        <v>6 Aerocuda Wing</v>
      </c>
      <c r="V390" s="62">
        <f>IFERROR(__xludf.DUMMYFUNCTION("SPLIT(U390,"" "")"),6.0)</f>
        <v>6</v>
      </c>
      <c r="W390" s="62" t="str">
        <f>IFERROR(__xludf.DUMMYFUNCTION("""COMPUTED_VALUE"""),"Aerocuda")</f>
        <v>Aerocuda</v>
      </c>
      <c r="X390" s="62" t="str">
        <f>IFERROR(__xludf.DUMMYFUNCTION("""COMPUTED_VALUE"""),"Wing")</f>
        <v>Wing</v>
      </c>
      <c r="Y390" s="62"/>
      <c r="Z390" s="62"/>
      <c r="AA390" s="62"/>
      <c r="AB390" s="63"/>
      <c r="AC390" s="62" t="str">
        <f t="shared" si="2"/>
        <v>Aerocuda Wing</v>
      </c>
    </row>
    <row r="391">
      <c r="U391" s="62" t="str">
        <f>IFERROR(__xludf.DUMMYFUNCTION("""COMPUTED_VALUE"""),"8 Aerocuda Eyeball")</f>
        <v>8 Aerocuda Eyeball</v>
      </c>
      <c r="V391" s="62">
        <f>IFERROR(__xludf.DUMMYFUNCTION("SPLIT(U391,"" "")"),8.0)</f>
        <v>8</v>
      </c>
      <c r="W391" s="62" t="str">
        <f>IFERROR(__xludf.DUMMYFUNCTION("""COMPUTED_VALUE"""),"Aerocuda")</f>
        <v>Aerocuda</v>
      </c>
      <c r="X391" s="62" t="str">
        <f>IFERROR(__xludf.DUMMYFUNCTION("""COMPUTED_VALUE"""),"Eyeball")</f>
        <v>Eyeball</v>
      </c>
      <c r="Y391" s="62"/>
      <c r="Z391" s="62"/>
      <c r="AA391" s="62"/>
      <c r="AB391" s="63"/>
      <c r="AC391" s="62" t="str">
        <f t="shared" si="2"/>
        <v>Aerocuda Eyeball</v>
      </c>
    </row>
    <row r="392">
      <c r="U392" s="62" t="str">
        <f>IFERROR(__xludf.DUMMYFUNCTION("""COMPUTED_VALUE"""),"12 Gleeok Wing")</f>
        <v>12 Gleeok Wing</v>
      </c>
      <c r="V392" s="62">
        <f>IFERROR(__xludf.DUMMYFUNCTION("SPLIT(U392,"" "")"),12.0)</f>
        <v>12</v>
      </c>
      <c r="W392" s="62" t="str">
        <f>IFERROR(__xludf.DUMMYFUNCTION("""COMPUTED_VALUE"""),"Gleeok")</f>
        <v>Gleeok</v>
      </c>
      <c r="X392" s="62" t="str">
        <f>IFERROR(__xludf.DUMMYFUNCTION("""COMPUTED_VALUE"""),"Wing")</f>
        <v>Wing</v>
      </c>
      <c r="Y392" s="62"/>
      <c r="Z392" s="62"/>
      <c r="AA392" s="62"/>
      <c r="AB392" s="63"/>
      <c r="AC392" s="62" t="str">
        <f t="shared" si="2"/>
        <v>Gleeok Wing</v>
      </c>
    </row>
    <row r="393">
      <c r="U393" s="62" t="str">
        <f>IFERROR(__xludf.DUMMYFUNCTION("""COMPUTED_VALUE"""),"10 Aerocuda Wing")</f>
        <v>10 Aerocuda Wing</v>
      </c>
      <c r="V393" s="62">
        <f>IFERROR(__xludf.DUMMYFUNCTION("SPLIT(U393,"" "")"),10.0)</f>
        <v>10</v>
      </c>
      <c r="W393" s="62" t="str">
        <f>IFERROR(__xludf.DUMMYFUNCTION("""COMPUTED_VALUE"""),"Aerocuda")</f>
        <v>Aerocuda</v>
      </c>
      <c r="X393" s="62" t="str">
        <f>IFERROR(__xludf.DUMMYFUNCTION("""COMPUTED_VALUE"""),"Wing")</f>
        <v>Wing</v>
      </c>
      <c r="Y393" s="62"/>
      <c r="Z393" s="62"/>
      <c r="AA393" s="62"/>
      <c r="AB393" s="63"/>
      <c r="AC393" s="62" t="str">
        <f t="shared" si="2"/>
        <v>Aerocuda Wing</v>
      </c>
    </row>
    <row r="394">
      <c r="U394" s="62" t="str">
        <f>IFERROR(__xludf.DUMMYFUNCTION("""COMPUTED_VALUE"""),"8 Gibdo Wing")</f>
        <v>8 Gibdo Wing</v>
      </c>
      <c r="V394" s="62">
        <f>IFERROR(__xludf.DUMMYFUNCTION("SPLIT(U394,"" "")"),8.0)</f>
        <v>8</v>
      </c>
      <c r="W394" s="62" t="str">
        <f>IFERROR(__xludf.DUMMYFUNCTION("""COMPUTED_VALUE"""),"Gibdo")</f>
        <v>Gibdo</v>
      </c>
      <c r="X394" s="62" t="str">
        <f>IFERROR(__xludf.DUMMYFUNCTION("""COMPUTED_VALUE"""),"Wing")</f>
        <v>Wing</v>
      </c>
      <c r="Y394" s="62"/>
      <c r="Z394" s="62"/>
      <c r="AA394" s="62"/>
      <c r="AB394" s="63"/>
      <c r="AC394" s="62" t="str">
        <f t="shared" si="2"/>
        <v>Gibdo Wing</v>
      </c>
    </row>
    <row r="395">
      <c r="U395" s="62" t="str">
        <f>IFERROR(__xludf.DUMMYFUNCTION("""COMPUTED_VALUE"""),"3 Keese Wing")</f>
        <v>3 Keese Wing</v>
      </c>
      <c r="V395" s="62">
        <f>IFERROR(__xludf.DUMMYFUNCTION("SPLIT(U395,"" "")"),3.0)</f>
        <v>3</v>
      </c>
      <c r="W395" s="62" t="str">
        <f>IFERROR(__xludf.DUMMYFUNCTION("""COMPUTED_VALUE"""),"Keese")</f>
        <v>Keese</v>
      </c>
      <c r="X395" s="62" t="str">
        <f>IFERROR(__xludf.DUMMYFUNCTION("""COMPUTED_VALUE"""),"Wing")</f>
        <v>Wing</v>
      </c>
      <c r="Y395" s="62"/>
      <c r="Z395" s="62"/>
      <c r="AA395" s="62"/>
      <c r="AB395" s="63"/>
      <c r="AC395" s="62" t="str">
        <f t="shared" si="2"/>
        <v>Keese Wing</v>
      </c>
    </row>
    <row r="396">
      <c r="U396" s="62" t="str">
        <f>IFERROR(__xludf.DUMMYFUNCTION("""COMPUTED_VALUE"""),"6 Aerocuda Eyeball")</f>
        <v>6 Aerocuda Eyeball</v>
      </c>
      <c r="V396" s="62">
        <f>IFERROR(__xludf.DUMMYFUNCTION("SPLIT(U396,"" "")"),6.0)</f>
        <v>6</v>
      </c>
      <c r="W396" s="62" t="str">
        <f>IFERROR(__xludf.DUMMYFUNCTION("""COMPUTED_VALUE"""),"Aerocuda")</f>
        <v>Aerocuda</v>
      </c>
      <c r="X396" s="62" t="str">
        <f>IFERROR(__xludf.DUMMYFUNCTION("""COMPUTED_VALUE"""),"Eyeball")</f>
        <v>Eyeball</v>
      </c>
      <c r="Y396" s="62"/>
      <c r="Z396" s="62"/>
      <c r="AA396" s="62"/>
      <c r="AB396" s="63"/>
      <c r="AC396" s="62" t="str">
        <f t="shared" si="2"/>
        <v>Aerocuda Eyeball</v>
      </c>
    </row>
    <row r="397">
      <c r="U397" s="62" t="str">
        <f>IFERROR(__xludf.DUMMYFUNCTION("""COMPUTED_VALUE"""),"5 Keese Wing")</f>
        <v>5 Keese Wing</v>
      </c>
      <c r="V397" s="62">
        <f>IFERROR(__xludf.DUMMYFUNCTION("SPLIT(U397,"" "")"),5.0)</f>
        <v>5</v>
      </c>
      <c r="W397" s="62" t="str">
        <f>IFERROR(__xludf.DUMMYFUNCTION("""COMPUTED_VALUE"""),"Keese")</f>
        <v>Keese</v>
      </c>
      <c r="X397" s="62" t="str">
        <f>IFERROR(__xludf.DUMMYFUNCTION("""COMPUTED_VALUE"""),"Wing")</f>
        <v>Wing</v>
      </c>
      <c r="Y397" s="62"/>
      <c r="Z397" s="62"/>
      <c r="AA397" s="62"/>
      <c r="AB397" s="63"/>
      <c r="AC397" s="62" t="str">
        <f t="shared" si="2"/>
        <v>Keese Wing</v>
      </c>
    </row>
    <row r="398">
      <c r="U398" s="62" t="str">
        <f>IFERROR(__xludf.DUMMYFUNCTION("""COMPUTED_VALUE"""),"6 Aerocuda Wing")</f>
        <v>6 Aerocuda Wing</v>
      </c>
      <c r="V398" s="62">
        <f>IFERROR(__xludf.DUMMYFUNCTION("SPLIT(U398,"" "")"),6.0)</f>
        <v>6</v>
      </c>
      <c r="W398" s="62" t="str">
        <f>IFERROR(__xludf.DUMMYFUNCTION("""COMPUTED_VALUE"""),"Aerocuda")</f>
        <v>Aerocuda</v>
      </c>
      <c r="X398" s="62" t="str">
        <f>IFERROR(__xludf.DUMMYFUNCTION("""COMPUTED_VALUE"""),"Wing")</f>
        <v>Wing</v>
      </c>
      <c r="Y398" s="62"/>
      <c r="Z398" s="62"/>
      <c r="AA398" s="62"/>
      <c r="AB398" s="63"/>
      <c r="AC398" s="62" t="str">
        <f t="shared" si="2"/>
        <v>Aerocuda Wing</v>
      </c>
    </row>
    <row r="399">
      <c r="U399" s="62" t="str">
        <f>IFERROR(__xludf.DUMMYFUNCTION("""COMPUTED_VALUE"""),"8 Aerocuda Eyeball")</f>
        <v>8 Aerocuda Eyeball</v>
      </c>
      <c r="V399" s="62">
        <f>IFERROR(__xludf.DUMMYFUNCTION("SPLIT(U399,"" "")"),8.0)</f>
        <v>8</v>
      </c>
      <c r="W399" s="62" t="str">
        <f>IFERROR(__xludf.DUMMYFUNCTION("""COMPUTED_VALUE"""),"Aerocuda")</f>
        <v>Aerocuda</v>
      </c>
      <c r="X399" s="62" t="str">
        <f>IFERROR(__xludf.DUMMYFUNCTION("""COMPUTED_VALUE"""),"Eyeball")</f>
        <v>Eyeball</v>
      </c>
      <c r="Y399" s="62"/>
      <c r="Z399" s="62"/>
      <c r="AA399" s="62"/>
      <c r="AB399" s="63"/>
      <c r="AC399" s="62" t="str">
        <f t="shared" si="2"/>
        <v>Aerocuda Eyeball</v>
      </c>
    </row>
    <row r="400">
      <c r="U400" s="62" t="str">
        <f>IFERROR(__xludf.DUMMYFUNCTION("""COMPUTED_VALUE"""),"12 Gleeok Wing")</f>
        <v>12 Gleeok Wing</v>
      </c>
      <c r="V400" s="62">
        <f>IFERROR(__xludf.DUMMYFUNCTION("SPLIT(U400,"" "")"),12.0)</f>
        <v>12</v>
      </c>
      <c r="W400" s="62" t="str">
        <f>IFERROR(__xludf.DUMMYFUNCTION("""COMPUTED_VALUE"""),"Gleeok")</f>
        <v>Gleeok</v>
      </c>
      <c r="X400" s="62" t="str">
        <f>IFERROR(__xludf.DUMMYFUNCTION("""COMPUTED_VALUE"""),"Wing")</f>
        <v>Wing</v>
      </c>
      <c r="Y400" s="62"/>
      <c r="Z400" s="62"/>
      <c r="AA400" s="62"/>
      <c r="AB400" s="63"/>
      <c r="AC400" s="62" t="str">
        <f t="shared" si="2"/>
        <v>Gleeok Wing</v>
      </c>
    </row>
    <row r="401">
      <c r="U401" s="62" t="str">
        <f>IFERROR(__xludf.DUMMYFUNCTION("""COMPUTED_VALUE"""),"10 Aerocuda Wing")</f>
        <v>10 Aerocuda Wing</v>
      </c>
      <c r="V401" s="62">
        <f>IFERROR(__xludf.DUMMYFUNCTION("SPLIT(U401,"" "")"),10.0)</f>
        <v>10</v>
      </c>
      <c r="W401" s="62" t="str">
        <f>IFERROR(__xludf.DUMMYFUNCTION("""COMPUTED_VALUE"""),"Aerocuda")</f>
        <v>Aerocuda</v>
      </c>
      <c r="X401" s="62" t="str">
        <f>IFERROR(__xludf.DUMMYFUNCTION("""COMPUTED_VALUE"""),"Wing")</f>
        <v>Wing</v>
      </c>
      <c r="Y401" s="62"/>
      <c r="Z401" s="62"/>
      <c r="AA401" s="62"/>
      <c r="AB401" s="63"/>
      <c r="AC401" s="62" t="str">
        <f t="shared" si="2"/>
        <v>Aerocuda Wing</v>
      </c>
    </row>
    <row r="402">
      <c r="U402" s="62" t="str">
        <f>IFERROR(__xludf.DUMMYFUNCTION("""COMPUTED_VALUE"""),"8 Gibdo Wing")</f>
        <v>8 Gibdo Wing</v>
      </c>
      <c r="V402" s="62">
        <f>IFERROR(__xludf.DUMMYFUNCTION("SPLIT(U402,"" "")"),8.0)</f>
        <v>8</v>
      </c>
      <c r="W402" s="62" t="str">
        <f>IFERROR(__xludf.DUMMYFUNCTION("""COMPUTED_VALUE"""),"Gibdo")</f>
        <v>Gibdo</v>
      </c>
      <c r="X402" s="62" t="str">
        <f>IFERROR(__xludf.DUMMYFUNCTION("""COMPUTED_VALUE"""),"Wing")</f>
        <v>Wing</v>
      </c>
      <c r="Y402" s="62"/>
      <c r="Z402" s="62"/>
      <c r="AA402" s="62"/>
      <c r="AB402" s="63"/>
      <c r="AC402" s="62" t="str">
        <f t="shared" si="2"/>
        <v>Gibdo Wing</v>
      </c>
    </row>
    <row r="403">
      <c r="U403" s="62" t="str">
        <f>IFERROR(__xludf.DUMMYFUNCTION("""COMPUTED_VALUE"""),"3 Deep Firefly")</f>
        <v>3 Deep Firefly</v>
      </c>
      <c r="V403" s="62">
        <f>IFERROR(__xludf.DUMMYFUNCTION("SPLIT(U403,"" "")"),3.0)</f>
        <v>3</v>
      </c>
      <c r="W403" s="62" t="str">
        <f>IFERROR(__xludf.DUMMYFUNCTION("""COMPUTED_VALUE"""),"Deep")</f>
        <v>Deep</v>
      </c>
      <c r="X403" s="62" t="str">
        <f>IFERROR(__xludf.DUMMYFUNCTION("""COMPUTED_VALUE"""),"Firefly")</f>
        <v>Firefly</v>
      </c>
      <c r="Y403" s="62"/>
      <c r="Z403" s="62"/>
      <c r="AA403" s="62"/>
      <c r="AB403" s="63"/>
      <c r="AC403" s="62" t="str">
        <f t="shared" si="2"/>
        <v>Deep Firefly</v>
      </c>
    </row>
    <row r="404">
      <c r="U404" s="62" t="str">
        <f>IFERROR(__xludf.DUMMYFUNCTION("""COMPUTED_VALUE"""),"3 Frox Fang")</f>
        <v>3 Frox Fang</v>
      </c>
      <c r="V404" s="62">
        <f>IFERROR(__xludf.DUMMYFUNCTION("SPLIT(U404,"" "")"),3.0)</f>
        <v>3</v>
      </c>
      <c r="W404" s="62" t="str">
        <f>IFERROR(__xludf.DUMMYFUNCTION("""COMPUTED_VALUE"""),"Frox")</f>
        <v>Frox</v>
      </c>
      <c r="X404" s="62" t="str">
        <f>IFERROR(__xludf.DUMMYFUNCTION("""COMPUTED_VALUE"""),"Fang")</f>
        <v>Fang</v>
      </c>
      <c r="Y404" s="62"/>
      <c r="Z404" s="62"/>
      <c r="AA404" s="62"/>
      <c r="AB404" s="63"/>
      <c r="AC404" s="62" t="str">
        <f t="shared" si="2"/>
        <v>Frox Fang</v>
      </c>
    </row>
    <row r="405">
      <c r="U405" s="62" t="str">
        <f>IFERROR(__xludf.DUMMYFUNCTION("""COMPUTED_VALUE"""),"5 Dark Clump")</f>
        <v>5 Dark Clump</v>
      </c>
      <c r="V405" s="62">
        <f>IFERROR(__xludf.DUMMYFUNCTION("SPLIT(U405,"" "")"),5.0)</f>
        <v>5</v>
      </c>
      <c r="W405" s="62" t="str">
        <f>IFERROR(__xludf.DUMMYFUNCTION("""COMPUTED_VALUE"""),"Dark")</f>
        <v>Dark</v>
      </c>
      <c r="X405" s="62" t="str">
        <f>IFERROR(__xludf.DUMMYFUNCTION("""COMPUTED_VALUE"""),"Clump")</f>
        <v>Clump</v>
      </c>
      <c r="Y405" s="62"/>
      <c r="Z405" s="62"/>
      <c r="AA405" s="62"/>
      <c r="AB405" s="63"/>
      <c r="AC405" s="62" t="str">
        <f t="shared" si="2"/>
        <v>Dark Clump</v>
      </c>
    </row>
    <row r="406">
      <c r="U406" s="62" t="str">
        <f>IFERROR(__xludf.DUMMYFUNCTION("""COMPUTED_VALUE"""),"3 Obsidian Frox Fang")</f>
        <v>3 Obsidian Frox Fang</v>
      </c>
      <c r="V406" s="62">
        <f>IFERROR(__xludf.DUMMYFUNCTION("SPLIT(U406,"" "")"),3.0)</f>
        <v>3</v>
      </c>
      <c r="W406" s="62" t="str">
        <f>IFERROR(__xludf.DUMMYFUNCTION("""COMPUTED_VALUE"""),"Obsidian")</f>
        <v>Obsidian</v>
      </c>
      <c r="X406" s="62" t="str">
        <f>IFERROR(__xludf.DUMMYFUNCTION("""COMPUTED_VALUE"""),"Frox")</f>
        <v>Frox</v>
      </c>
      <c r="Y406" s="62" t="str">
        <f>IFERROR(__xludf.DUMMYFUNCTION("""COMPUTED_VALUE"""),"Fang")</f>
        <v>Fang</v>
      </c>
      <c r="Z406" s="62"/>
      <c r="AA406" s="62"/>
      <c r="AB406" s="63"/>
      <c r="AC406" s="62" t="str">
        <f t="shared" si="2"/>
        <v>Obsidian Frox Fang</v>
      </c>
    </row>
    <row r="407">
      <c r="U407" s="62" t="str">
        <f>IFERROR(__xludf.DUMMYFUNCTION("""COMPUTED_VALUE"""),"20 Zonaite")</f>
        <v>20 Zonaite</v>
      </c>
      <c r="V407" s="62">
        <f>IFERROR(__xludf.DUMMYFUNCTION("SPLIT(U407,"" "")"),20.0)</f>
        <v>20</v>
      </c>
      <c r="W407" s="62" t="str">
        <f>IFERROR(__xludf.DUMMYFUNCTION("""COMPUTED_VALUE"""),"Zonaite")</f>
        <v>Zonaite</v>
      </c>
      <c r="X407" s="62"/>
      <c r="Y407" s="62"/>
      <c r="Z407" s="62"/>
      <c r="AA407" s="62"/>
      <c r="AB407" s="63"/>
      <c r="AC407" s="62" t="str">
        <f t="shared" si="2"/>
        <v>Zonaite</v>
      </c>
    </row>
    <row r="408">
      <c r="U408" s="62" t="str">
        <f>IFERROR(__xludf.DUMMYFUNCTION("""COMPUTED_VALUE"""),"3 Frox Fingernail")</f>
        <v>3 Frox Fingernail</v>
      </c>
      <c r="V408" s="62">
        <f>IFERROR(__xludf.DUMMYFUNCTION("SPLIT(U408,"" "")"),3.0)</f>
        <v>3</v>
      </c>
      <c r="W408" s="62" t="str">
        <f>IFERROR(__xludf.DUMMYFUNCTION("""COMPUTED_VALUE"""),"Frox")</f>
        <v>Frox</v>
      </c>
      <c r="X408" s="62" t="str">
        <f>IFERROR(__xludf.DUMMYFUNCTION("""COMPUTED_VALUE"""),"Fingernail")</f>
        <v>Fingernail</v>
      </c>
      <c r="Y408" s="62"/>
      <c r="Z408" s="62"/>
      <c r="AA408" s="62"/>
      <c r="AB408" s="63"/>
      <c r="AC408" s="62" t="str">
        <f t="shared" si="2"/>
        <v>Frox Fingernail</v>
      </c>
    </row>
    <row r="409">
      <c r="U409" s="62" t="str">
        <f>IFERROR(__xludf.DUMMYFUNCTION("""COMPUTED_VALUE"""),"5 Blue-White Frox Fang")</f>
        <v>5 Blue-White Frox Fang</v>
      </c>
      <c r="V409" s="62">
        <f>IFERROR(__xludf.DUMMYFUNCTION("SPLIT(U409,"" "")"),5.0)</f>
        <v>5</v>
      </c>
      <c r="W409" s="62" t="str">
        <f>IFERROR(__xludf.DUMMYFUNCTION("""COMPUTED_VALUE"""),"Blue-White")</f>
        <v>Blue-White</v>
      </c>
      <c r="X409" s="62" t="str">
        <f>IFERROR(__xludf.DUMMYFUNCTION("""COMPUTED_VALUE"""),"Frox")</f>
        <v>Frox</v>
      </c>
      <c r="Y409" s="62" t="str">
        <f>IFERROR(__xludf.DUMMYFUNCTION("""COMPUTED_VALUE"""),"Fang")</f>
        <v>Fang</v>
      </c>
      <c r="Z409" s="62"/>
      <c r="AA409" s="62"/>
      <c r="AB409" s="63"/>
      <c r="AC409" s="62" t="str">
        <f t="shared" si="2"/>
        <v>Blue-White Frox Fang</v>
      </c>
    </row>
    <row r="410">
      <c r="U410" s="62" t="str">
        <f>IFERROR(__xludf.DUMMYFUNCTION("""COMPUTED_VALUE"""),"10 Large Zonaite")</f>
        <v>10 Large Zonaite</v>
      </c>
      <c r="V410" s="62">
        <f>IFERROR(__xludf.DUMMYFUNCTION("SPLIT(U410,"" "")"),10.0)</f>
        <v>10</v>
      </c>
      <c r="W410" s="62" t="str">
        <f>IFERROR(__xludf.DUMMYFUNCTION("""COMPUTED_VALUE"""),"Large")</f>
        <v>Large</v>
      </c>
      <c r="X410" s="62" t="str">
        <f>IFERROR(__xludf.DUMMYFUNCTION("""COMPUTED_VALUE"""),"Zonaite")</f>
        <v>Zonaite</v>
      </c>
      <c r="Y410" s="62"/>
      <c r="Z410" s="62"/>
      <c r="AA410" s="62"/>
      <c r="AB410" s="63"/>
      <c r="AC410" s="62" t="str">
        <f t="shared" si="2"/>
        <v>Large Zonaite</v>
      </c>
    </row>
    <row r="411">
      <c r="U411" s="62" t="str">
        <f>IFERROR(__xludf.DUMMYFUNCTION("""COMPUTED_VALUE"""),"3 Frox Guts")</f>
        <v>3 Frox Guts</v>
      </c>
      <c r="V411" s="62">
        <f>IFERROR(__xludf.DUMMYFUNCTION("SPLIT(U411,"" "")"),3.0)</f>
        <v>3</v>
      </c>
      <c r="W411" s="62" t="str">
        <f>IFERROR(__xludf.DUMMYFUNCTION("""COMPUTED_VALUE"""),"Frox")</f>
        <v>Frox</v>
      </c>
      <c r="X411" s="62" t="str">
        <f>IFERROR(__xludf.DUMMYFUNCTION("""COMPUTED_VALUE"""),"Guts")</f>
        <v>Guts</v>
      </c>
      <c r="Y411" s="62"/>
      <c r="Z411" s="62"/>
      <c r="AA411" s="62"/>
      <c r="AB411" s="63"/>
      <c r="AC411" s="62" t="str">
        <f t="shared" si="2"/>
        <v>Frox Guts</v>
      </c>
    </row>
    <row r="412">
      <c r="U412" s="62" t="str">
        <f>IFERROR(__xludf.DUMMYFUNCTION("""COMPUTED_VALUE"""),"3 Deep Firefly")</f>
        <v>3 Deep Firefly</v>
      </c>
      <c r="V412" s="62">
        <f>IFERROR(__xludf.DUMMYFUNCTION("SPLIT(U412,"" "")"),3.0)</f>
        <v>3</v>
      </c>
      <c r="W412" s="62" t="str">
        <f>IFERROR(__xludf.DUMMYFUNCTION("""COMPUTED_VALUE"""),"Deep")</f>
        <v>Deep</v>
      </c>
      <c r="X412" s="62" t="str">
        <f>IFERROR(__xludf.DUMMYFUNCTION("""COMPUTED_VALUE"""),"Firefly")</f>
        <v>Firefly</v>
      </c>
      <c r="Y412" s="62"/>
      <c r="Z412" s="62"/>
      <c r="AA412" s="62"/>
      <c r="AB412" s="63"/>
      <c r="AC412" s="62" t="str">
        <f t="shared" si="2"/>
        <v>Deep Firefly</v>
      </c>
    </row>
    <row r="413">
      <c r="U413" s="62" t="str">
        <f>IFERROR(__xludf.DUMMYFUNCTION("""COMPUTED_VALUE"""),"3 Frox Fang")</f>
        <v>3 Frox Fang</v>
      </c>
      <c r="V413" s="62">
        <f>IFERROR(__xludf.DUMMYFUNCTION("SPLIT(U413,"" "")"),3.0)</f>
        <v>3</v>
      </c>
      <c r="W413" s="62" t="str">
        <f>IFERROR(__xludf.DUMMYFUNCTION("""COMPUTED_VALUE"""),"Frox")</f>
        <v>Frox</v>
      </c>
      <c r="X413" s="62" t="str">
        <f>IFERROR(__xludf.DUMMYFUNCTION("""COMPUTED_VALUE"""),"Fang")</f>
        <v>Fang</v>
      </c>
      <c r="Y413" s="62"/>
      <c r="Z413" s="62"/>
      <c r="AA413" s="62"/>
      <c r="AB413" s="63"/>
      <c r="AC413" s="62" t="str">
        <f t="shared" si="2"/>
        <v>Frox Fang</v>
      </c>
    </row>
    <row r="414">
      <c r="U414" s="62" t="str">
        <f>IFERROR(__xludf.DUMMYFUNCTION("""COMPUTED_VALUE"""),"5 Dark Clump")</f>
        <v>5 Dark Clump</v>
      </c>
      <c r="V414" s="62">
        <f>IFERROR(__xludf.DUMMYFUNCTION("SPLIT(U414,"" "")"),5.0)</f>
        <v>5</v>
      </c>
      <c r="W414" s="62" t="str">
        <f>IFERROR(__xludf.DUMMYFUNCTION("""COMPUTED_VALUE"""),"Dark")</f>
        <v>Dark</v>
      </c>
      <c r="X414" s="62" t="str">
        <f>IFERROR(__xludf.DUMMYFUNCTION("""COMPUTED_VALUE"""),"Clump")</f>
        <v>Clump</v>
      </c>
      <c r="Y414" s="62"/>
      <c r="Z414" s="62"/>
      <c r="AA414" s="62"/>
      <c r="AB414" s="63"/>
      <c r="AC414" s="62" t="str">
        <f t="shared" si="2"/>
        <v>Dark Clump</v>
      </c>
    </row>
    <row r="415">
      <c r="U415" s="62" t="str">
        <f>IFERROR(__xludf.DUMMYFUNCTION("""COMPUTED_VALUE"""),"3 Obsidian Frox Fang")</f>
        <v>3 Obsidian Frox Fang</v>
      </c>
      <c r="V415" s="62">
        <f>IFERROR(__xludf.DUMMYFUNCTION("SPLIT(U415,"" "")"),3.0)</f>
        <v>3</v>
      </c>
      <c r="W415" s="62" t="str">
        <f>IFERROR(__xludf.DUMMYFUNCTION("""COMPUTED_VALUE"""),"Obsidian")</f>
        <v>Obsidian</v>
      </c>
      <c r="X415" s="62" t="str">
        <f>IFERROR(__xludf.DUMMYFUNCTION("""COMPUTED_VALUE"""),"Frox")</f>
        <v>Frox</v>
      </c>
      <c r="Y415" s="62" t="str">
        <f>IFERROR(__xludf.DUMMYFUNCTION("""COMPUTED_VALUE"""),"Fang")</f>
        <v>Fang</v>
      </c>
      <c r="Z415" s="62"/>
      <c r="AA415" s="62"/>
      <c r="AB415" s="63"/>
      <c r="AC415" s="62" t="str">
        <f t="shared" si="2"/>
        <v>Obsidian Frox Fang</v>
      </c>
    </row>
    <row r="416">
      <c r="U416" s="62" t="str">
        <f>IFERROR(__xludf.DUMMYFUNCTION("""COMPUTED_VALUE"""),"20 Zonaite")</f>
        <v>20 Zonaite</v>
      </c>
      <c r="V416" s="62">
        <f>IFERROR(__xludf.DUMMYFUNCTION("SPLIT(U416,"" "")"),20.0)</f>
        <v>20</v>
      </c>
      <c r="W416" s="62" t="str">
        <f>IFERROR(__xludf.DUMMYFUNCTION("""COMPUTED_VALUE"""),"Zonaite")</f>
        <v>Zonaite</v>
      </c>
      <c r="X416" s="62"/>
      <c r="Y416" s="62"/>
      <c r="Z416" s="62"/>
      <c r="AA416" s="62"/>
      <c r="AB416" s="63"/>
      <c r="AC416" s="62" t="str">
        <f t="shared" si="2"/>
        <v>Zonaite</v>
      </c>
    </row>
    <row r="417">
      <c r="U417" s="62" t="str">
        <f>IFERROR(__xludf.DUMMYFUNCTION("""COMPUTED_VALUE"""),"3 Frox Fingernail")</f>
        <v>3 Frox Fingernail</v>
      </c>
      <c r="V417" s="62">
        <f>IFERROR(__xludf.DUMMYFUNCTION("SPLIT(U417,"" "")"),3.0)</f>
        <v>3</v>
      </c>
      <c r="W417" s="62" t="str">
        <f>IFERROR(__xludf.DUMMYFUNCTION("""COMPUTED_VALUE"""),"Frox")</f>
        <v>Frox</v>
      </c>
      <c r="X417" s="62" t="str">
        <f>IFERROR(__xludf.DUMMYFUNCTION("""COMPUTED_VALUE"""),"Fingernail")</f>
        <v>Fingernail</v>
      </c>
      <c r="Y417" s="62"/>
      <c r="Z417" s="62"/>
      <c r="AA417" s="62"/>
      <c r="AB417" s="63"/>
      <c r="AC417" s="62" t="str">
        <f t="shared" si="2"/>
        <v>Frox Fingernail</v>
      </c>
    </row>
    <row r="418">
      <c r="U418" s="62" t="str">
        <f>IFERROR(__xludf.DUMMYFUNCTION("""COMPUTED_VALUE"""),"5 Blue-White Frox Fang")</f>
        <v>5 Blue-White Frox Fang</v>
      </c>
      <c r="V418" s="62">
        <f>IFERROR(__xludf.DUMMYFUNCTION("SPLIT(U418,"" "")"),5.0)</f>
        <v>5</v>
      </c>
      <c r="W418" s="62" t="str">
        <f>IFERROR(__xludf.DUMMYFUNCTION("""COMPUTED_VALUE"""),"Blue-White")</f>
        <v>Blue-White</v>
      </c>
      <c r="X418" s="62" t="str">
        <f>IFERROR(__xludf.DUMMYFUNCTION("""COMPUTED_VALUE"""),"Frox")</f>
        <v>Frox</v>
      </c>
      <c r="Y418" s="62" t="str">
        <f>IFERROR(__xludf.DUMMYFUNCTION("""COMPUTED_VALUE"""),"Fang")</f>
        <v>Fang</v>
      </c>
      <c r="Z418" s="62"/>
      <c r="AA418" s="62"/>
      <c r="AB418" s="63"/>
      <c r="AC418" s="62" t="str">
        <f t="shared" si="2"/>
        <v>Blue-White Frox Fang</v>
      </c>
    </row>
    <row r="419">
      <c r="U419" s="62" t="str">
        <f>IFERROR(__xludf.DUMMYFUNCTION("""COMPUTED_VALUE"""),"10 Large Zonaite")</f>
        <v>10 Large Zonaite</v>
      </c>
      <c r="V419" s="62">
        <f>IFERROR(__xludf.DUMMYFUNCTION("SPLIT(U419,"" "")"),10.0)</f>
        <v>10</v>
      </c>
      <c r="W419" s="62" t="str">
        <f>IFERROR(__xludf.DUMMYFUNCTION("""COMPUTED_VALUE"""),"Large")</f>
        <v>Large</v>
      </c>
      <c r="X419" s="62" t="str">
        <f>IFERROR(__xludf.DUMMYFUNCTION("""COMPUTED_VALUE"""),"Zonaite")</f>
        <v>Zonaite</v>
      </c>
      <c r="Y419" s="62"/>
      <c r="Z419" s="62"/>
      <c r="AA419" s="62"/>
      <c r="AB419" s="63"/>
      <c r="AC419" s="62" t="str">
        <f t="shared" si="2"/>
        <v>Large Zonaite</v>
      </c>
    </row>
    <row r="420">
      <c r="U420" s="62" t="str">
        <f>IFERROR(__xludf.DUMMYFUNCTION("""COMPUTED_VALUE"""),"3 Frox Guts")</f>
        <v>3 Frox Guts</v>
      </c>
      <c r="V420" s="62">
        <f>IFERROR(__xludf.DUMMYFUNCTION("SPLIT(U420,"" "")"),3.0)</f>
        <v>3</v>
      </c>
      <c r="W420" s="62" t="str">
        <f>IFERROR(__xludf.DUMMYFUNCTION("""COMPUTED_VALUE"""),"Frox")</f>
        <v>Frox</v>
      </c>
      <c r="X420" s="62" t="str">
        <f>IFERROR(__xludf.DUMMYFUNCTION("""COMPUTED_VALUE"""),"Guts")</f>
        <v>Guts</v>
      </c>
      <c r="Y420" s="62"/>
      <c r="Z420" s="62"/>
      <c r="AA420" s="62"/>
      <c r="AB420" s="63"/>
      <c r="AC420" s="62" t="str">
        <f t="shared" si="2"/>
        <v>Frox Guts</v>
      </c>
    </row>
    <row r="421">
      <c r="U421" s="62" t="str">
        <f>IFERROR(__xludf.DUMMYFUNCTION("""COMPUTED_VALUE"""),"3 Deep Firefly")</f>
        <v>3 Deep Firefly</v>
      </c>
      <c r="V421" s="62">
        <f>IFERROR(__xludf.DUMMYFUNCTION("SPLIT(U421,"" "")"),3.0)</f>
        <v>3</v>
      </c>
      <c r="W421" s="62" t="str">
        <f>IFERROR(__xludf.DUMMYFUNCTION("""COMPUTED_VALUE"""),"Deep")</f>
        <v>Deep</v>
      </c>
      <c r="X421" s="62" t="str">
        <f>IFERROR(__xludf.DUMMYFUNCTION("""COMPUTED_VALUE"""),"Firefly")</f>
        <v>Firefly</v>
      </c>
      <c r="Y421" s="62"/>
      <c r="Z421" s="62"/>
      <c r="AA421" s="62"/>
      <c r="AB421" s="63"/>
      <c r="AC421" s="62" t="str">
        <f t="shared" si="2"/>
        <v>Deep Firefly</v>
      </c>
    </row>
    <row r="422">
      <c r="U422" s="62" t="str">
        <f>IFERROR(__xludf.DUMMYFUNCTION("""COMPUTED_VALUE"""),"3 Frox Fang")</f>
        <v>3 Frox Fang</v>
      </c>
      <c r="V422" s="62">
        <f>IFERROR(__xludf.DUMMYFUNCTION("SPLIT(U422,"" "")"),3.0)</f>
        <v>3</v>
      </c>
      <c r="W422" s="62" t="str">
        <f>IFERROR(__xludf.DUMMYFUNCTION("""COMPUTED_VALUE"""),"Frox")</f>
        <v>Frox</v>
      </c>
      <c r="X422" s="62" t="str">
        <f>IFERROR(__xludf.DUMMYFUNCTION("""COMPUTED_VALUE"""),"Fang")</f>
        <v>Fang</v>
      </c>
      <c r="Y422" s="62"/>
      <c r="Z422" s="62"/>
      <c r="AA422" s="62"/>
      <c r="AB422" s="63"/>
      <c r="AC422" s="62" t="str">
        <f t="shared" si="2"/>
        <v>Frox Fang</v>
      </c>
    </row>
    <row r="423">
      <c r="U423" s="62" t="str">
        <f>IFERROR(__xludf.DUMMYFUNCTION("""COMPUTED_VALUE"""),"5 Dark Clump")</f>
        <v>5 Dark Clump</v>
      </c>
      <c r="V423" s="62">
        <f>IFERROR(__xludf.DUMMYFUNCTION("SPLIT(U423,"" "")"),5.0)</f>
        <v>5</v>
      </c>
      <c r="W423" s="62" t="str">
        <f>IFERROR(__xludf.DUMMYFUNCTION("""COMPUTED_VALUE"""),"Dark")</f>
        <v>Dark</v>
      </c>
      <c r="X423" s="62" t="str">
        <f>IFERROR(__xludf.DUMMYFUNCTION("""COMPUTED_VALUE"""),"Clump")</f>
        <v>Clump</v>
      </c>
      <c r="Y423" s="62"/>
      <c r="Z423" s="62"/>
      <c r="AA423" s="62"/>
      <c r="AB423" s="63"/>
      <c r="AC423" s="62" t="str">
        <f t="shared" si="2"/>
        <v>Dark Clump</v>
      </c>
    </row>
    <row r="424">
      <c r="U424" s="62" t="str">
        <f>IFERROR(__xludf.DUMMYFUNCTION("""COMPUTED_VALUE"""),"3 Obsidian Frox Fang")</f>
        <v>3 Obsidian Frox Fang</v>
      </c>
      <c r="V424" s="62">
        <f>IFERROR(__xludf.DUMMYFUNCTION("SPLIT(U424,"" "")"),3.0)</f>
        <v>3</v>
      </c>
      <c r="W424" s="62" t="str">
        <f>IFERROR(__xludf.DUMMYFUNCTION("""COMPUTED_VALUE"""),"Obsidian")</f>
        <v>Obsidian</v>
      </c>
      <c r="X424" s="62" t="str">
        <f>IFERROR(__xludf.DUMMYFUNCTION("""COMPUTED_VALUE"""),"Frox")</f>
        <v>Frox</v>
      </c>
      <c r="Y424" s="62" t="str">
        <f>IFERROR(__xludf.DUMMYFUNCTION("""COMPUTED_VALUE"""),"Fang")</f>
        <v>Fang</v>
      </c>
      <c r="Z424" s="62"/>
      <c r="AA424" s="62"/>
      <c r="AB424" s="63"/>
      <c r="AC424" s="62" t="str">
        <f t="shared" si="2"/>
        <v>Obsidian Frox Fang</v>
      </c>
    </row>
    <row r="425">
      <c r="U425" s="62" t="str">
        <f>IFERROR(__xludf.DUMMYFUNCTION("""COMPUTED_VALUE"""),"20 Zonaite")</f>
        <v>20 Zonaite</v>
      </c>
      <c r="V425" s="62">
        <f>IFERROR(__xludf.DUMMYFUNCTION("SPLIT(U425,"" "")"),20.0)</f>
        <v>20</v>
      </c>
      <c r="W425" s="62" t="str">
        <f>IFERROR(__xludf.DUMMYFUNCTION("""COMPUTED_VALUE"""),"Zonaite")</f>
        <v>Zonaite</v>
      </c>
      <c r="X425" s="62"/>
      <c r="Y425" s="62"/>
      <c r="Z425" s="62"/>
      <c r="AA425" s="62"/>
      <c r="AB425" s="63"/>
      <c r="AC425" s="62" t="str">
        <f t="shared" si="2"/>
        <v>Zonaite</v>
      </c>
    </row>
    <row r="426">
      <c r="U426" s="62" t="str">
        <f>IFERROR(__xludf.DUMMYFUNCTION("""COMPUTED_VALUE"""),"3 Frox Fingernail")</f>
        <v>3 Frox Fingernail</v>
      </c>
      <c r="V426" s="62">
        <f>IFERROR(__xludf.DUMMYFUNCTION("SPLIT(U426,"" "")"),3.0)</f>
        <v>3</v>
      </c>
      <c r="W426" s="62" t="str">
        <f>IFERROR(__xludf.DUMMYFUNCTION("""COMPUTED_VALUE"""),"Frox")</f>
        <v>Frox</v>
      </c>
      <c r="X426" s="62" t="str">
        <f>IFERROR(__xludf.DUMMYFUNCTION("""COMPUTED_VALUE"""),"Fingernail")</f>
        <v>Fingernail</v>
      </c>
      <c r="Y426" s="62"/>
      <c r="Z426" s="62"/>
      <c r="AA426" s="62"/>
      <c r="AB426" s="63"/>
      <c r="AC426" s="62" t="str">
        <f t="shared" si="2"/>
        <v>Frox Fingernail</v>
      </c>
    </row>
    <row r="427">
      <c r="U427" s="62" t="str">
        <f>IFERROR(__xludf.DUMMYFUNCTION("""COMPUTED_VALUE"""),"5 Blue-White Frox Fang")</f>
        <v>5 Blue-White Frox Fang</v>
      </c>
      <c r="V427" s="62">
        <f>IFERROR(__xludf.DUMMYFUNCTION("SPLIT(U427,"" "")"),5.0)</f>
        <v>5</v>
      </c>
      <c r="W427" s="62" t="str">
        <f>IFERROR(__xludf.DUMMYFUNCTION("""COMPUTED_VALUE"""),"Blue-White")</f>
        <v>Blue-White</v>
      </c>
      <c r="X427" s="62" t="str">
        <f>IFERROR(__xludf.DUMMYFUNCTION("""COMPUTED_VALUE"""),"Frox")</f>
        <v>Frox</v>
      </c>
      <c r="Y427" s="62" t="str">
        <f>IFERROR(__xludf.DUMMYFUNCTION("""COMPUTED_VALUE"""),"Fang")</f>
        <v>Fang</v>
      </c>
      <c r="Z427" s="62"/>
      <c r="AA427" s="62"/>
      <c r="AB427" s="63"/>
      <c r="AC427" s="62" t="str">
        <f t="shared" si="2"/>
        <v>Blue-White Frox Fang</v>
      </c>
    </row>
    <row r="428">
      <c r="U428" s="62" t="str">
        <f>IFERROR(__xludf.DUMMYFUNCTION("""COMPUTED_VALUE"""),"10 Large Zonaite")</f>
        <v>10 Large Zonaite</v>
      </c>
      <c r="V428" s="62">
        <f>IFERROR(__xludf.DUMMYFUNCTION("SPLIT(U428,"" "")"),10.0)</f>
        <v>10</v>
      </c>
      <c r="W428" s="62" t="str">
        <f>IFERROR(__xludf.DUMMYFUNCTION("""COMPUTED_VALUE"""),"Large")</f>
        <v>Large</v>
      </c>
      <c r="X428" s="62" t="str">
        <f>IFERROR(__xludf.DUMMYFUNCTION("""COMPUTED_VALUE"""),"Zonaite")</f>
        <v>Zonaite</v>
      </c>
      <c r="Y428" s="62"/>
      <c r="Z428" s="62"/>
      <c r="AA428" s="62"/>
      <c r="AB428" s="63"/>
      <c r="AC428" s="62" t="str">
        <f t="shared" si="2"/>
        <v>Large Zonaite</v>
      </c>
    </row>
    <row r="429">
      <c r="U429" s="62" t="str">
        <f>IFERROR(__xludf.DUMMYFUNCTION("""COMPUTED_VALUE"""),"3 Frox Guts")</f>
        <v>3 Frox Guts</v>
      </c>
      <c r="V429" s="62">
        <f>IFERROR(__xludf.DUMMYFUNCTION("SPLIT(U429,"" "")"),3.0)</f>
        <v>3</v>
      </c>
      <c r="W429" s="62" t="str">
        <f>IFERROR(__xludf.DUMMYFUNCTION("""COMPUTED_VALUE"""),"Frox")</f>
        <v>Frox</v>
      </c>
      <c r="X429" s="62" t="str">
        <f>IFERROR(__xludf.DUMMYFUNCTION("""COMPUTED_VALUE"""),"Guts")</f>
        <v>Guts</v>
      </c>
      <c r="Y429" s="62"/>
      <c r="Z429" s="62"/>
      <c r="AA429" s="62"/>
      <c r="AB429" s="63"/>
      <c r="AC429" s="62" t="str">
        <f t="shared" si="2"/>
        <v>Frox Guts</v>
      </c>
    </row>
    <row r="430">
      <c r="U430" s="62" t="str">
        <f>IFERROR(__xludf.DUMMYFUNCTION("""COMPUTED_VALUE"""),"10 Brightbloom Seed")</f>
        <v>10 Brightbloom Seed</v>
      </c>
      <c r="V430" s="62">
        <f>IFERROR(__xludf.DUMMYFUNCTION("SPLIT(U430,"" "")"),10.0)</f>
        <v>10</v>
      </c>
      <c r="W430" s="62" t="str">
        <f>IFERROR(__xludf.DUMMYFUNCTION("""COMPUTED_VALUE"""),"Brightbloom")</f>
        <v>Brightbloom</v>
      </c>
      <c r="X430" s="62" t="str">
        <f>IFERROR(__xludf.DUMMYFUNCTION("""COMPUTED_VALUE"""),"Seed")</f>
        <v>Seed</v>
      </c>
      <c r="Y430" s="62"/>
      <c r="Z430" s="62"/>
      <c r="AA430" s="62"/>
      <c r="AB430" s="63"/>
      <c r="AC430" s="62" t="str">
        <f t="shared" si="2"/>
        <v>Brightbloom Seed</v>
      </c>
    </row>
    <row r="431">
      <c r="U431" s="62" t="str">
        <f>IFERROR(__xludf.DUMMYFUNCTION("""COMPUTED_VALUE"""),"20 Brightbloom Seed")</f>
        <v>20 Brightbloom Seed</v>
      </c>
      <c r="V431" s="62">
        <f>IFERROR(__xludf.DUMMYFUNCTION("SPLIT(U431,"" "")"),20.0)</f>
        <v>20</v>
      </c>
      <c r="W431" s="62" t="str">
        <f>IFERROR(__xludf.DUMMYFUNCTION("""COMPUTED_VALUE"""),"Brightbloom")</f>
        <v>Brightbloom</v>
      </c>
      <c r="X431" s="62" t="str">
        <f>IFERROR(__xludf.DUMMYFUNCTION("""COMPUTED_VALUE"""),"Seed")</f>
        <v>Seed</v>
      </c>
      <c r="Y431" s="62"/>
      <c r="Z431" s="62"/>
      <c r="AA431" s="62"/>
      <c r="AB431" s="63"/>
      <c r="AC431" s="62" t="str">
        <f t="shared" si="2"/>
        <v>Brightbloom Seed</v>
      </c>
    </row>
    <row r="432">
      <c r="U432" s="62" t="str">
        <f>IFERROR(__xludf.DUMMYFUNCTION("""COMPUTED_VALUE"""),"5 Brightcap")</f>
        <v>5 Brightcap</v>
      </c>
      <c r="V432" s="62">
        <f>IFERROR(__xludf.DUMMYFUNCTION("SPLIT(U432,"" "")"),5.0)</f>
        <v>5</v>
      </c>
      <c r="W432" s="62" t="str">
        <f>IFERROR(__xludf.DUMMYFUNCTION("""COMPUTED_VALUE"""),"Brightcap")</f>
        <v>Brightcap</v>
      </c>
      <c r="X432" s="62"/>
      <c r="Y432" s="62"/>
      <c r="Z432" s="62"/>
      <c r="AA432" s="62"/>
      <c r="AB432" s="63"/>
      <c r="AC432" s="62" t="str">
        <f t="shared" si="2"/>
        <v>Brightcap</v>
      </c>
    </row>
    <row r="433">
      <c r="U433" s="62" t="str">
        <f>IFERROR(__xludf.DUMMYFUNCTION("""COMPUTED_VALUE"""),"15 Giant Brightbloom Seed")</f>
        <v>15 Giant Brightbloom Seed</v>
      </c>
      <c r="V433" s="62">
        <f>IFERROR(__xludf.DUMMYFUNCTION("SPLIT(U433,"" "")"),15.0)</f>
        <v>15</v>
      </c>
      <c r="W433" s="62" t="str">
        <f>IFERROR(__xludf.DUMMYFUNCTION("""COMPUTED_VALUE"""),"Giant")</f>
        <v>Giant</v>
      </c>
      <c r="X433" s="62" t="str">
        <f>IFERROR(__xludf.DUMMYFUNCTION("""COMPUTED_VALUE"""),"Brightbloom")</f>
        <v>Brightbloom</v>
      </c>
      <c r="Y433" s="62" t="str">
        <f>IFERROR(__xludf.DUMMYFUNCTION("""COMPUTED_VALUE"""),"Seed")</f>
        <v>Seed</v>
      </c>
      <c r="Z433" s="62"/>
      <c r="AA433" s="62"/>
      <c r="AB433" s="63"/>
      <c r="AC433" s="62" t="str">
        <f t="shared" si="2"/>
        <v>Giant Brightbloom Seed</v>
      </c>
    </row>
    <row r="434">
      <c r="U434" s="62" t="str">
        <f>IFERROR(__xludf.DUMMYFUNCTION("""COMPUTED_VALUE"""),"5 Glowing Cave Fish")</f>
        <v>5 Glowing Cave Fish</v>
      </c>
      <c r="V434" s="62">
        <f>IFERROR(__xludf.DUMMYFUNCTION("SPLIT(U434,"" "")"),5.0)</f>
        <v>5</v>
      </c>
      <c r="W434" s="62" t="str">
        <f>IFERROR(__xludf.DUMMYFUNCTION("""COMPUTED_VALUE"""),"Glowing")</f>
        <v>Glowing</v>
      </c>
      <c r="X434" s="62" t="str">
        <f>IFERROR(__xludf.DUMMYFUNCTION("""COMPUTED_VALUE"""),"Cave")</f>
        <v>Cave</v>
      </c>
      <c r="Y434" s="62" t="str">
        <f>IFERROR(__xludf.DUMMYFUNCTION("""COMPUTED_VALUE"""),"Fish")</f>
        <v>Fish</v>
      </c>
      <c r="Z434" s="62"/>
      <c r="AA434" s="62"/>
      <c r="AB434" s="63"/>
      <c r="AC434" s="62" t="str">
        <f t="shared" si="2"/>
        <v>Glowing Cave Fish</v>
      </c>
    </row>
    <row r="435">
      <c r="U435" s="62" t="str">
        <f>IFERROR(__xludf.DUMMYFUNCTION("""COMPUTED_VALUE"""),"10 Deep Firefly")</f>
        <v>10 Deep Firefly</v>
      </c>
      <c r="V435" s="62">
        <f>IFERROR(__xludf.DUMMYFUNCTION("SPLIT(U435,"" "")"),10.0)</f>
        <v>10</v>
      </c>
      <c r="W435" s="62" t="str">
        <f>IFERROR(__xludf.DUMMYFUNCTION("""COMPUTED_VALUE"""),"Deep")</f>
        <v>Deep</v>
      </c>
      <c r="X435" s="62" t="str">
        <f>IFERROR(__xludf.DUMMYFUNCTION("""COMPUTED_VALUE"""),"Firefly")</f>
        <v>Firefly</v>
      </c>
      <c r="Y435" s="62"/>
      <c r="Z435" s="62"/>
      <c r="AA435" s="62"/>
      <c r="AB435" s="63"/>
      <c r="AC435" s="62" t="str">
        <f t="shared" si="2"/>
        <v>Deep Firefly</v>
      </c>
    </row>
    <row r="436">
      <c r="U436" s="62" t="str">
        <f>IFERROR(__xludf.DUMMYFUNCTION("""COMPUTED_VALUE"""),"20 Giant Brightbloom Seed")</f>
        <v>20 Giant Brightbloom Seed</v>
      </c>
      <c r="V436" s="62">
        <f>IFERROR(__xludf.DUMMYFUNCTION("SPLIT(U436,"" "")"),20.0)</f>
        <v>20</v>
      </c>
      <c r="W436" s="62" t="str">
        <f>IFERROR(__xludf.DUMMYFUNCTION("""COMPUTED_VALUE"""),"Giant")</f>
        <v>Giant</v>
      </c>
      <c r="X436" s="62" t="str">
        <f>IFERROR(__xludf.DUMMYFUNCTION("""COMPUTED_VALUE"""),"Brightbloom")</f>
        <v>Brightbloom</v>
      </c>
      <c r="Y436" s="62" t="str">
        <f>IFERROR(__xludf.DUMMYFUNCTION("""COMPUTED_VALUE"""),"Seed")</f>
        <v>Seed</v>
      </c>
      <c r="Z436" s="62"/>
      <c r="AA436" s="62"/>
      <c r="AB436" s="63"/>
      <c r="AC436" s="62" t="str">
        <f t="shared" si="2"/>
        <v>Giant Brightbloom Seed</v>
      </c>
    </row>
    <row r="437">
      <c r="U437" s="62" t="str">
        <f>IFERROR(__xludf.DUMMYFUNCTION("""COMPUTED_VALUE"""),"3 Diamond")</f>
        <v>3 Diamond</v>
      </c>
      <c r="V437" s="62">
        <f>IFERROR(__xludf.DUMMYFUNCTION("SPLIT(U437,"" "")"),3.0)</f>
        <v>3</v>
      </c>
      <c r="W437" s="62" t="str">
        <f>IFERROR(__xludf.DUMMYFUNCTION("""COMPUTED_VALUE"""),"Diamond")</f>
        <v>Diamond</v>
      </c>
      <c r="X437" s="62"/>
      <c r="Y437" s="62"/>
      <c r="Z437" s="62"/>
      <c r="AA437" s="62"/>
      <c r="AB437" s="63"/>
      <c r="AC437" s="62" t="str">
        <f t="shared" si="2"/>
        <v>Diamond</v>
      </c>
    </row>
    <row r="438">
      <c r="U438" s="62" t="str">
        <f>IFERROR(__xludf.DUMMYFUNCTION("""COMPUTED_VALUE"""),"10 Large Zonaite")</f>
        <v>10 Large Zonaite</v>
      </c>
      <c r="V438" s="62">
        <f>IFERROR(__xludf.DUMMYFUNCTION("SPLIT(U438,"" "")"),10.0)</f>
        <v>10</v>
      </c>
      <c r="W438" s="62" t="str">
        <f>IFERROR(__xludf.DUMMYFUNCTION("""COMPUTED_VALUE"""),"Large")</f>
        <v>Large</v>
      </c>
      <c r="X438" s="62" t="str">
        <f>IFERROR(__xludf.DUMMYFUNCTION("""COMPUTED_VALUE"""),"Zonaite")</f>
        <v>Zonaite</v>
      </c>
      <c r="Y438" s="62"/>
      <c r="Z438" s="62"/>
      <c r="AA438" s="62"/>
      <c r="AB438" s="63"/>
      <c r="AC438" s="62" t="str">
        <f t="shared" si="2"/>
        <v>Large Zonaite</v>
      </c>
    </row>
    <row r="439">
      <c r="U439" s="62" t="str">
        <f>IFERROR(__xludf.DUMMYFUNCTION("""COMPUTED_VALUE"""),"10 Brightbloom Seed")</f>
        <v>10 Brightbloom Seed</v>
      </c>
      <c r="V439" s="62">
        <f>IFERROR(__xludf.DUMMYFUNCTION("SPLIT(U439,"" "")"),10.0)</f>
        <v>10</v>
      </c>
      <c r="W439" s="62" t="str">
        <f>IFERROR(__xludf.DUMMYFUNCTION("""COMPUTED_VALUE"""),"Brightbloom")</f>
        <v>Brightbloom</v>
      </c>
      <c r="X439" s="62" t="str">
        <f>IFERROR(__xludf.DUMMYFUNCTION("""COMPUTED_VALUE"""),"Seed")</f>
        <v>Seed</v>
      </c>
      <c r="Y439" s="62"/>
      <c r="Z439" s="62"/>
      <c r="AA439" s="62"/>
      <c r="AB439" s="63"/>
      <c r="AC439" s="62" t="str">
        <f t="shared" si="2"/>
        <v>Brightbloom Seed</v>
      </c>
    </row>
    <row r="440">
      <c r="U440" s="62" t="str">
        <f>IFERROR(__xludf.DUMMYFUNCTION("""COMPUTED_VALUE"""),"20 Brightbloom Seed")</f>
        <v>20 Brightbloom Seed</v>
      </c>
      <c r="V440" s="62">
        <f>IFERROR(__xludf.DUMMYFUNCTION("SPLIT(U440,"" "")"),20.0)</f>
        <v>20</v>
      </c>
      <c r="W440" s="62" t="str">
        <f>IFERROR(__xludf.DUMMYFUNCTION("""COMPUTED_VALUE"""),"Brightbloom")</f>
        <v>Brightbloom</v>
      </c>
      <c r="X440" s="62" t="str">
        <f>IFERROR(__xludf.DUMMYFUNCTION("""COMPUTED_VALUE"""),"Seed")</f>
        <v>Seed</v>
      </c>
      <c r="Y440" s="62"/>
      <c r="Z440" s="62"/>
      <c r="AA440" s="62"/>
      <c r="AB440" s="63"/>
      <c r="AC440" s="62" t="str">
        <f t="shared" si="2"/>
        <v>Brightbloom Seed</v>
      </c>
    </row>
    <row r="441">
      <c r="U441" s="62" t="str">
        <f>IFERROR(__xludf.DUMMYFUNCTION("""COMPUTED_VALUE"""),"5 Brightcap")</f>
        <v>5 Brightcap</v>
      </c>
      <c r="V441" s="62">
        <f>IFERROR(__xludf.DUMMYFUNCTION("SPLIT(U441,"" "")"),5.0)</f>
        <v>5</v>
      </c>
      <c r="W441" s="62" t="str">
        <f>IFERROR(__xludf.DUMMYFUNCTION("""COMPUTED_VALUE"""),"Brightcap")</f>
        <v>Brightcap</v>
      </c>
      <c r="X441" s="62"/>
      <c r="Y441" s="62"/>
      <c r="Z441" s="62"/>
      <c r="AA441" s="62"/>
      <c r="AB441" s="63"/>
      <c r="AC441" s="62" t="str">
        <f t="shared" si="2"/>
        <v>Brightcap</v>
      </c>
    </row>
    <row r="442">
      <c r="U442" s="62" t="str">
        <f>IFERROR(__xludf.DUMMYFUNCTION("""COMPUTED_VALUE"""),"15 Giant Brightbloom Seed")</f>
        <v>15 Giant Brightbloom Seed</v>
      </c>
      <c r="V442" s="62">
        <f>IFERROR(__xludf.DUMMYFUNCTION("SPLIT(U442,"" "")"),15.0)</f>
        <v>15</v>
      </c>
      <c r="W442" s="62" t="str">
        <f>IFERROR(__xludf.DUMMYFUNCTION("""COMPUTED_VALUE"""),"Giant")</f>
        <v>Giant</v>
      </c>
      <c r="X442" s="62" t="str">
        <f>IFERROR(__xludf.DUMMYFUNCTION("""COMPUTED_VALUE"""),"Brightbloom")</f>
        <v>Brightbloom</v>
      </c>
      <c r="Y442" s="62" t="str">
        <f>IFERROR(__xludf.DUMMYFUNCTION("""COMPUTED_VALUE"""),"Seed")</f>
        <v>Seed</v>
      </c>
      <c r="Z442" s="62"/>
      <c r="AA442" s="62"/>
      <c r="AB442" s="63"/>
      <c r="AC442" s="62" t="str">
        <f t="shared" si="2"/>
        <v>Giant Brightbloom Seed</v>
      </c>
    </row>
    <row r="443">
      <c r="U443" s="62" t="str">
        <f>IFERROR(__xludf.DUMMYFUNCTION("""COMPUTED_VALUE"""),"5 Glowing Cave Fish")</f>
        <v>5 Glowing Cave Fish</v>
      </c>
      <c r="V443" s="62">
        <f>IFERROR(__xludf.DUMMYFUNCTION("SPLIT(U443,"" "")"),5.0)</f>
        <v>5</v>
      </c>
      <c r="W443" s="62" t="str">
        <f>IFERROR(__xludf.DUMMYFUNCTION("""COMPUTED_VALUE"""),"Glowing")</f>
        <v>Glowing</v>
      </c>
      <c r="X443" s="62" t="str">
        <f>IFERROR(__xludf.DUMMYFUNCTION("""COMPUTED_VALUE"""),"Cave")</f>
        <v>Cave</v>
      </c>
      <c r="Y443" s="62" t="str">
        <f>IFERROR(__xludf.DUMMYFUNCTION("""COMPUTED_VALUE"""),"Fish")</f>
        <v>Fish</v>
      </c>
      <c r="Z443" s="62"/>
      <c r="AA443" s="62"/>
      <c r="AB443" s="63"/>
      <c r="AC443" s="62" t="str">
        <f t="shared" si="2"/>
        <v>Glowing Cave Fish</v>
      </c>
    </row>
    <row r="444">
      <c r="U444" s="62" t="str">
        <f>IFERROR(__xludf.DUMMYFUNCTION("""COMPUTED_VALUE"""),"10 Deep Firefly")</f>
        <v>10 Deep Firefly</v>
      </c>
      <c r="V444" s="62">
        <f>IFERROR(__xludf.DUMMYFUNCTION("SPLIT(U444,"" "")"),10.0)</f>
        <v>10</v>
      </c>
      <c r="W444" s="62" t="str">
        <f>IFERROR(__xludf.DUMMYFUNCTION("""COMPUTED_VALUE"""),"Deep")</f>
        <v>Deep</v>
      </c>
      <c r="X444" s="62" t="str">
        <f>IFERROR(__xludf.DUMMYFUNCTION("""COMPUTED_VALUE"""),"Firefly")</f>
        <v>Firefly</v>
      </c>
      <c r="Y444" s="62"/>
      <c r="Z444" s="62"/>
      <c r="AA444" s="62"/>
      <c r="AB444" s="63"/>
      <c r="AC444" s="62" t="str">
        <f t="shared" si="2"/>
        <v>Deep Firefly</v>
      </c>
    </row>
    <row r="445">
      <c r="U445" s="62" t="str">
        <f>IFERROR(__xludf.DUMMYFUNCTION("""COMPUTED_VALUE"""),"20 Giant Brightbloom Seed")</f>
        <v>20 Giant Brightbloom Seed</v>
      </c>
      <c r="V445" s="62">
        <f>IFERROR(__xludf.DUMMYFUNCTION("SPLIT(U445,"" "")"),20.0)</f>
        <v>20</v>
      </c>
      <c r="W445" s="62" t="str">
        <f>IFERROR(__xludf.DUMMYFUNCTION("""COMPUTED_VALUE"""),"Giant")</f>
        <v>Giant</v>
      </c>
      <c r="X445" s="62" t="str">
        <f>IFERROR(__xludf.DUMMYFUNCTION("""COMPUTED_VALUE"""),"Brightbloom")</f>
        <v>Brightbloom</v>
      </c>
      <c r="Y445" s="62" t="str">
        <f>IFERROR(__xludf.DUMMYFUNCTION("""COMPUTED_VALUE"""),"Seed")</f>
        <v>Seed</v>
      </c>
      <c r="Z445" s="62"/>
      <c r="AA445" s="62"/>
      <c r="AB445" s="63"/>
      <c r="AC445" s="62" t="str">
        <f t="shared" si="2"/>
        <v>Giant Brightbloom Seed</v>
      </c>
    </row>
    <row r="446">
      <c r="U446" s="62" t="str">
        <f>IFERROR(__xludf.DUMMYFUNCTION("""COMPUTED_VALUE"""),"3 Diamond")</f>
        <v>3 Diamond</v>
      </c>
      <c r="V446" s="62">
        <f>IFERROR(__xludf.DUMMYFUNCTION("SPLIT(U446,"" "")"),3.0)</f>
        <v>3</v>
      </c>
      <c r="W446" s="62" t="str">
        <f>IFERROR(__xludf.DUMMYFUNCTION("""COMPUTED_VALUE"""),"Diamond")</f>
        <v>Diamond</v>
      </c>
      <c r="X446" s="62"/>
      <c r="Y446" s="62"/>
      <c r="Z446" s="62"/>
      <c r="AA446" s="62"/>
      <c r="AB446" s="63"/>
      <c r="AC446" s="62" t="str">
        <f t="shared" si="2"/>
        <v>Diamond</v>
      </c>
    </row>
    <row r="447">
      <c r="U447" s="62" t="str">
        <f>IFERROR(__xludf.DUMMYFUNCTION("""COMPUTED_VALUE"""),"10 Large Zonaite")</f>
        <v>10 Large Zonaite</v>
      </c>
      <c r="V447" s="62">
        <f>IFERROR(__xludf.DUMMYFUNCTION("SPLIT(U447,"" "")"),10.0)</f>
        <v>10</v>
      </c>
      <c r="W447" s="62" t="str">
        <f>IFERROR(__xludf.DUMMYFUNCTION("""COMPUTED_VALUE"""),"Large")</f>
        <v>Large</v>
      </c>
      <c r="X447" s="62" t="str">
        <f>IFERROR(__xludf.DUMMYFUNCTION("""COMPUTED_VALUE"""),"Zonaite")</f>
        <v>Zonaite</v>
      </c>
      <c r="Y447" s="62"/>
      <c r="Z447" s="62"/>
      <c r="AA447" s="62"/>
      <c r="AB447" s="63"/>
      <c r="AC447" s="62" t="str">
        <f t="shared" si="2"/>
        <v>Large Zonaite</v>
      </c>
    </row>
    <row r="448">
      <c r="U448" s="62" t="str">
        <f>IFERROR(__xludf.DUMMYFUNCTION("""COMPUTED_VALUE"""),"10 Brightbloom Seed")</f>
        <v>10 Brightbloom Seed</v>
      </c>
      <c r="V448" s="62">
        <f>IFERROR(__xludf.DUMMYFUNCTION("SPLIT(U448,"" "")"),10.0)</f>
        <v>10</v>
      </c>
      <c r="W448" s="62" t="str">
        <f>IFERROR(__xludf.DUMMYFUNCTION("""COMPUTED_VALUE"""),"Brightbloom")</f>
        <v>Brightbloom</v>
      </c>
      <c r="X448" s="62" t="str">
        <f>IFERROR(__xludf.DUMMYFUNCTION("""COMPUTED_VALUE"""),"Seed")</f>
        <v>Seed</v>
      </c>
      <c r="Y448" s="62"/>
      <c r="Z448" s="62"/>
      <c r="AA448" s="62"/>
      <c r="AB448" s="63"/>
      <c r="AC448" s="62" t="str">
        <f t="shared" si="2"/>
        <v>Brightbloom Seed</v>
      </c>
    </row>
    <row r="449">
      <c r="U449" s="62" t="str">
        <f>IFERROR(__xludf.DUMMYFUNCTION("""COMPUTED_VALUE"""),"20 Brightbloom Seed")</f>
        <v>20 Brightbloom Seed</v>
      </c>
      <c r="V449" s="62">
        <f>IFERROR(__xludf.DUMMYFUNCTION("SPLIT(U449,"" "")"),20.0)</f>
        <v>20</v>
      </c>
      <c r="W449" s="62" t="str">
        <f>IFERROR(__xludf.DUMMYFUNCTION("""COMPUTED_VALUE"""),"Brightbloom")</f>
        <v>Brightbloom</v>
      </c>
      <c r="X449" s="62" t="str">
        <f>IFERROR(__xludf.DUMMYFUNCTION("""COMPUTED_VALUE"""),"Seed")</f>
        <v>Seed</v>
      </c>
      <c r="Y449" s="62"/>
      <c r="Z449" s="62"/>
      <c r="AA449" s="62"/>
      <c r="AB449" s="63"/>
      <c r="AC449" s="62" t="str">
        <f t="shared" si="2"/>
        <v>Brightbloom Seed</v>
      </c>
    </row>
    <row r="450">
      <c r="U450" s="62" t="str">
        <f>IFERROR(__xludf.DUMMYFUNCTION("""COMPUTED_VALUE"""),"5 Brightcap")</f>
        <v>5 Brightcap</v>
      </c>
      <c r="V450" s="62">
        <f>IFERROR(__xludf.DUMMYFUNCTION("SPLIT(U450,"" "")"),5.0)</f>
        <v>5</v>
      </c>
      <c r="W450" s="62" t="str">
        <f>IFERROR(__xludf.DUMMYFUNCTION("""COMPUTED_VALUE"""),"Brightcap")</f>
        <v>Brightcap</v>
      </c>
      <c r="X450" s="62"/>
      <c r="Y450" s="62"/>
      <c r="Z450" s="62"/>
      <c r="AA450" s="62"/>
      <c r="AB450" s="63"/>
      <c r="AC450" s="62" t="str">
        <f t="shared" si="2"/>
        <v>Brightcap</v>
      </c>
    </row>
    <row r="451">
      <c r="U451" s="62" t="str">
        <f>IFERROR(__xludf.DUMMYFUNCTION("""COMPUTED_VALUE"""),"15 Giant Brightbloom Seed")</f>
        <v>15 Giant Brightbloom Seed</v>
      </c>
      <c r="V451" s="62">
        <f>IFERROR(__xludf.DUMMYFUNCTION("SPLIT(U451,"" "")"),15.0)</f>
        <v>15</v>
      </c>
      <c r="W451" s="62" t="str">
        <f>IFERROR(__xludf.DUMMYFUNCTION("""COMPUTED_VALUE"""),"Giant")</f>
        <v>Giant</v>
      </c>
      <c r="X451" s="62" t="str">
        <f>IFERROR(__xludf.DUMMYFUNCTION("""COMPUTED_VALUE"""),"Brightbloom")</f>
        <v>Brightbloom</v>
      </c>
      <c r="Y451" s="62" t="str">
        <f>IFERROR(__xludf.DUMMYFUNCTION("""COMPUTED_VALUE"""),"Seed")</f>
        <v>Seed</v>
      </c>
      <c r="Z451" s="62"/>
      <c r="AA451" s="62"/>
      <c r="AB451" s="63"/>
      <c r="AC451" s="62" t="str">
        <f t="shared" si="2"/>
        <v>Giant Brightbloom Seed</v>
      </c>
    </row>
    <row r="452">
      <c r="U452" s="62" t="str">
        <f>IFERROR(__xludf.DUMMYFUNCTION("""COMPUTED_VALUE"""),"5 Glowing Cave Fish")</f>
        <v>5 Glowing Cave Fish</v>
      </c>
      <c r="V452" s="62">
        <f>IFERROR(__xludf.DUMMYFUNCTION("SPLIT(U452,"" "")"),5.0)</f>
        <v>5</v>
      </c>
      <c r="W452" s="62" t="str">
        <f>IFERROR(__xludf.DUMMYFUNCTION("""COMPUTED_VALUE"""),"Glowing")</f>
        <v>Glowing</v>
      </c>
      <c r="X452" s="62" t="str">
        <f>IFERROR(__xludf.DUMMYFUNCTION("""COMPUTED_VALUE"""),"Cave")</f>
        <v>Cave</v>
      </c>
      <c r="Y452" s="62" t="str">
        <f>IFERROR(__xludf.DUMMYFUNCTION("""COMPUTED_VALUE"""),"Fish")</f>
        <v>Fish</v>
      </c>
      <c r="Z452" s="62"/>
      <c r="AA452" s="62"/>
      <c r="AB452" s="63"/>
      <c r="AC452" s="62" t="str">
        <f t="shared" si="2"/>
        <v>Glowing Cave Fish</v>
      </c>
    </row>
    <row r="453">
      <c r="U453" s="62" t="str">
        <f>IFERROR(__xludf.DUMMYFUNCTION("""COMPUTED_VALUE"""),"10 Deep Firefly")</f>
        <v>10 Deep Firefly</v>
      </c>
      <c r="V453" s="62">
        <f>IFERROR(__xludf.DUMMYFUNCTION("SPLIT(U453,"" "")"),10.0)</f>
        <v>10</v>
      </c>
      <c r="W453" s="62" t="str">
        <f>IFERROR(__xludf.DUMMYFUNCTION("""COMPUTED_VALUE"""),"Deep")</f>
        <v>Deep</v>
      </c>
      <c r="X453" s="62" t="str">
        <f>IFERROR(__xludf.DUMMYFUNCTION("""COMPUTED_VALUE"""),"Firefly")</f>
        <v>Firefly</v>
      </c>
      <c r="Y453" s="62"/>
      <c r="Z453" s="62"/>
      <c r="AA453" s="62"/>
      <c r="AB453" s="63"/>
      <c r="AC453" s="62" t="str">
        <f t="shared" si="2"/>
        <v>Deep Firefly</v>
      </c>
    </row>
    <row r="454">
      <c r="U454" s="62" t="str">
        <f>IFERROR(__xludf.DUMMYFUNCTION("""COMPUTED_VALUE"""),"20 Giant Brightbloom Seed")</f>
        <v>20 Giant Brightbloom Seed</v>
      </c>
      <c r="V454" s="62">
        <f>IFERROR(__xludf.DUMMYFUNCTION("SPLIT(U454,"" "")"),20.0)</f>
        <v>20</v>
      </c>
      <c r="W454" s="62" t="str">
        <f>IFERROR(__xludf.DUMMYFUNCTION("""COMPUTED_VALUE"""),"Giant")</f>
        <v>Giant</v>
      </c>
      <c r="X454" s="62" t="str">
        <f>IFERROR(__xludf.DUMMYFUNCTION("""COMPUTED_VALUE"""),"Brightbloom")</f>
        <v>Brightbloom</v>
      </c>
      <c r="Y454" s="62" t="str">
        <f>IFERROR(__xludf.DUMMYFUNCTION("""COMPUTED_VALUE"""),"Seed")</f>
        <v>Seed</v>
      </c>
      <c r="Z454" s="62"/>
      <c r="AA454" s="62"/>
      <c r="AB454" s="63"/>
      <c r="AC454" s="62" t="str">
        <f t="shared" si="2"/>
        <v>Giant Brightbloom Seed</v>
      </c>
    </row>
    <row r="455">
      <c r="U455" s="62" t="str">
        <f>IFERROR(__xludf.DUMMYFUNCTION("""COMPUTED_VALUE"""),"3 Diamond")</f>
        <v>3 Diamond</v>
      </c>
      <c r="V455" s="62">
        <f>IFERROR(__xludf.DUMMYFUNCTION("SPLIT(U455,"" "")"),3.0)</f>
        <v>3</v>
      </c>
      <c r="W455" s="62" t="str">
        <f>IFERROR(__xludf.DUMMYFUNCTION("""COMPUTED_VALUE"""),"Diamond")</f>
        <v>Diamond</v>
      </c>
      <c r="X455" s="62"/>
      <c r="Y455" s="62"/>
      <c r="Z455" s="62"/>
      <c r="AA455" s="62"/>
      <c r="AB455" s="63"/>
      <c r="AC455" s="62" t="str">
        <f t="shared" si="2"/>
        <v>Diamond</v>
      </c>
    </row>
    <row r="456">
      <c r="U456" s="62" t="str">
        <f>IFERROR(__xludf.DUMMYFUNCTION("""COMPUTED_VALUE"""),"10 Large Zonaite")</f>
        <v>10 Large Zonaite</v>
      </c>
      <c r="V456" s="62">
        <f>IFERROR(__xludf.DUMMYFUNCTION("SPLIT(U456,"" "")"),10.0)</f>
        <v>10</v>
      </c>
      <c r="W456" s="62" t="str">
        <f>IFERROR(__xludf.DUMMYFUNCTION("""COMPUTED_VALUE"""),"Large")</f>
        <v>Large</v>
      </c>
      <c r="X456" s="62" t="str">
        <f>IFERROR(__xludf.DUMMYFUNCTION("""COMPUTED_VALUE"""),"Zonaite")</f>
        <v>Zonaite</v>
      </c>
      <c r="Y456" s="62"/>
      <c r="Z456" s="62"/>
      <c r="AA456" s="62"/>
      <c r="AB456" s="63"/>
      <c r="AC456" s="62" t="str">
        <f t="shared" si="2"/>
        <v>Large Zonaite</v>
      </c>
    </row>
    <row r="457">
      <c r="U457" s="62" t="str">
        <f>IFERROR(__xludf.DUMMYFUNCTION("""COMPUTED_VALUE"""),"N/A")</f>
        <v>N/A</v>
      </c>
      <c r="V457" s="62" t="str">
        <f>IFERROR(__xludf.DUMMYFUNCTION("SPLIT(U457,"" "")"),"N/A")</f>
        <v>N/A</v>
      </c>
      <c r="W457" s="62"/>
      <c r="X457" s="62"/>
      <c r="Y457" s="62"/>
      <c r="Z457" s="62"/>
      <c r="AA457" s="62"/>
      <c r="AB457" s="63"/>
      <c r="AC457" s="62" t="str">
        <f t="shared" si="2"/>
        <v/>
      </c>
    </row>
    <row r="458">
      <c r="U458" s="62" t="str">
        <f>IFERROR(__xludf.DUMMYFUNCTION("""COMPUTED_VALUE"""),"N/A")</f>
        <v>N/A</v>
      </c>
      <c r="V458" s="62" t="str">
        <f>IFERROR(__xludf.DUMMYFUNCTION("SPLIT(U458,"" "")"),"N/A")</f>
        <v>N/A</v>
      </c>
      <c r="W458" s="62"/>
      <c r="X458" s="62"/>
      <c r="Y458" s="62"/>
      <c r="Z458" s="62"/>
      <c r="AA458" s="62"/>
      <c r="AB458" s="63"/>
      <c r="AC458" s="62" t="str">
        <f t="shared" si="2"/>
        <v/>
      </c>
    </row>
    <row r="459">
      <c r="U459" s="62" t="str">
        <f>IFERROR(__xludf.DUMMYFUNCTION("""COMPUTED_VALUE"""),"N/A")</f>
        <v>N/A</v>
      </c>
      <c r="V459" s="62" t="str">
        <f>IFERROR(__xludf.DUMMYFUNCTION("SPLIT(U459,"" "")"),"N/A")</f>
        <v>N/A</v>
      </c>
      <c r="W459" s="62"/>
      <c r="X459" s="62"/>
      <c r="Y459" s="62"/>
      <c r="Z459" s="62"/>
      <c r="AA459" s="62"/>
      <c r="AB459" s="63"/>
      <c r="AC459" s="62" t="str">
        <f t="shared" si="2"/>
        <v/>
      </c>
    </row>
    <row r="460">
      <c r="U460" s="62" t="str">
        <f>IFERROR(__xludf.DUMMYFUNCTION("""COMPUTED_VALUE"""),"N/A")</f>
        <v>N/A</v>
      </c>
      <c r="V460" s="62" t="str">
        <f>IFERROR(__xludf.DUMMYFUNCTION("SPLIT(U460,"" "")"),"N/A")</f>
        <v>N/A</v>
      </c>
      <c r="W460" s="62"/>
      <c r="X460" s="62"/>
      <c r="Y460" s="62"/>
      <c r="Z460" s="62"/>
      <c r="AA460" s="62"/>
      <c r="AB460" s="63"/>
      <c r="AC460" s="62" t="str">
        <f t="shared" si="2"/>
        <v/>
      </c>
    </row>
    <row r="461">
      <c r="U461" s="62" t="str">
        <f>IFERROR(__xludf.DUMMYFUNCTION("""COMPUTED_VALUE"""),"N/A")</f>
        <v>N/A</v>
      </c>
      <c r="V461" s="62" t="str">
        <f>IFERROR(__xludf.DUMMYFUNCTION("SPLIT(U461,"" "")"),"N/A")</f>
        <v>N/A</v>
      </c>
      <c r="W461" s="62"/>
      <c r="X461" s="62"/>
      <c r="Y461" s="62"/>
      <c r="Z461" s="62"/>
      <c r="AA461" s="62"/>
      <c r="AB461" s="63"/>
      <c r="AC461" s="62" t="str">
        <f t="shared" si="2"/>
        <v/>
      </c>
    </row>
    <row r="462">
      <c r="U462" s="62" t="str">
        <f>IFERROR(__xludf.DUMMYFUNCTION("""COMPUTED_VALUE"""),"N/A")</f>
        <v>N/A</v>
      </c>
      <c r="V462" s="62" t="str">
        <f>IFERROR(__xludf.DUMMYFUNCTION("SPLIT(U462,"" "")"),"N/A")</f>
        <v>N/A</v>
      </c>
      <c r="W462" s="62"/>
      <c r="X462" s="62"/>
      <c r="Y462" s="62"/>
      <c r="Z462" s="62"/>
      <c r="AA462" s="62"/>
      <c r="AB462" s="63"/>
      <c r="AC462" s="62" t="str">
        <f t="shared" si="2"/>
        <v/>
      </c>
    </row>
    <row r="463">
      <c r="U463" s="62" t="str">
        <f>IFERROR(__xludf.DUMMYFUNCTION("""COMPUTED_VALUE"""),"N/A")</f>
        <v>N/A</v>
      </c>
      <c r="V463" s="62" t="str">
        <f>IFERROR(__xludf.DUMMYFUNCTION("SPLIT(U463,"" "")"),"N/A")</f>
        <v>N/A</v>
      </c>
      <c r="W463" s="62"/>
      <c r="X463" s="62"/>
      <c r="Y463" s="62"/>
      <c r="Z463" s="62"/>
      <c r="AA463" s="62"/>
      <c r="AB463" s="63"/>
      <c r="AC463" s="62" t="str">
        <f t="shared" si="2"/>
        <v/>
      </c>
    </row>
    <row r="464">
      <c r="U464" s="62" t="str">
        <f>IFERROR(__xludf.DUMMYFUNCTION("""COMPUTED_VALUE"""),"N/A")</f>
        <v>N/A</v>
      </c>
      <c r="V464" s="62" t="str">
        <f>IFERROR(__xludf.DUMMYFUNCTION("SPLIT(U464,"" "")"),"N/A")</f>
        <v>N/A</v>
      </c>
      <c r="W464" s="62"/>
      <c r="X464" s="62"/>
      <c r="Y464" s="62"/>
      <c r="Z464" s="62"/>
      <c r="AA464" s="62"/>
      <c r="AB464" s="63"/>
      <c r="AC464" s="62" t="str">
        <f t="shared" si="2"/>
        <v/>
      </c>
    </row>
    <row r="465">
      <c r="U465" s="62" t="str">
        <f>IFERROR(__xludf.DUMMYFUNCTION("""COMPUTED_VALUE"""),"N/A")</f>
        <v>N/A</v>
      </c>
      <c r="V465" s="62" t="str">
        <f>IFERROR(__xludf.DUMMYFUNCTION("SPLIT(U465,"" "")"),"N/A")</f>
        <v>N/A</v>
      </c>
      <c r="W465" s="62"/>
      <c r="X465" s="62"/>
      <c r="Y465" s="62"/>
      <c r="Z465" s="62"/>
      <c r="AA465" s="62"/>
      <c r="AB465" s="63"/>
      <c r="AC465" s="62" t="str">
        <f t="shared" si="2"/>
        <v/>
      </c>
    </row>
    <row r="466">
      <c r="U466" s="62" t="str">
        <f>IFERROR(__xludf.DUMMYFUNCTION("""COMPUTED_VALUE"""),"N/A")</f>
        <v>N/A</v>
      </c>
      <c r="V466" s="62" t="str">
        <f>IFERROR(__xludf.DUMMYFUNCTION("SPLIT(U466,"" "")"),"N/A")</f>
        <v>N/A</v>
      </c>
      <c r="W466" s="62"/>
      <c r="X466" s="62"/>
      <c r="Y466" s="62"/>
      <c r="Z466" s="62"/>
      <c r="AA466" s="62"/>
      <c r="AB466" s="63"/>
      <c r="AC466" s="62" t="str">
        <f t="shared" si="2"/>
        <v/>
      </c>
    </row>
    <row r="467">
      <c r="U467" s="62" t="str">
        <f>IFERROR(__xludf.DUMMYFUNCTION("""COMPUTED_VALUE"""),"N/A")</f>
        <v>N/A</v>
      </c>
      <c r="V467" s="62" t="str">
        <f>IFERROR(__xludf.DUMMYFUNCTION("SPLIT(U467,"" "")"),"N/A")</f>
        <v>N/A</v>
      </c>
      <c r="W467" s="62"/>
      <c r="X467" s="62"/>
      <c r="Y467" s="62"/>
      <c r="Z467" s="62"/>
      <c r="AA467" s="62"/>
      <c r="AB467" s="63"/>
      <c r="AC467" s="62" t="str">
        <f t="shared" si="2"/>
        <v/>
      </c>
    </row>
    <row r="468">
      <c r="U468" s="62" t="str">
        <f>IFERROR(__xludf.DUMMYFUNCTION("""COMPUTED_VALUE"""),"N/A")</f>
        <v>N/A</v>
      </c>
      <c r="V468" s="62" t="str">
        <f>IFERROR(__xludf.DUMMYFUNCTION("SPLIT(U468,"" "")"),"N/A")</f>
        <v>N/A</v>
      </c>
      <c r="W468" s="62"/>
      <c r="X468" s="62"/>
      <c r="Y468" s="62"/>
      <c r="Z468" s="62"/>
      <c r="AA468" s="62"/>
      <c r="AB468" s="63"/>
      <c r="AC468" s="62" t="str">
        <f t="shared" si="2"/>
        <v/>
      </c>
    </row>
    <row r="469">
      <c r="U469" s="62" t="str">
        <f>IFERROR(__xludf.DUMMYFUNCTION("""COMPUTED_VALUE"""),"3 Fire Fruit")</f>
        <v>3 Fire Fruit</v>
      </c>
      <c r="V469" s="62">
        <f>IFERROR(__xludf.DUMMYFUNCTION("SPLIT(U469,"" "")"),3.0)</f>
        <v>3</v>
      </c>
      <c r="W469" s="62" t="str">
        <f>IFERROR(__xludf.DUMMYFUNCTION("""COMPUTED_VALUE"""),"Fire")</f>
        <v>Fire</v>
      </c>
      <c r="X469" s="62" t="str">
        <f>IFERROR(__xludf.DUMMYFUNCTION("""COMPUTED_VALUE"""),"Fruit")</f>
        <v>Fruit</v>
      </c>
      <c r="Y469" s="62"/>
      <c r="Z469" s="62"/>
      <c r="AA469" s="62"/>
      <c r="AB469" s="63"/>
      <c r="AC469" s="62" t="str">
        <f t="shared" si="2"/>
        <v>Fire Fruit</v>
      </c>
    </row>
    <row r="470">
      <c r="U470" s="62" t="str">
        <f>IFERROR(__xludf.DUMMYFUNCTION("""COMPUTED_VALUE"""),"5 Fire-Breath Lizalfos Horn")</f>
        <v>5 Fire-Breath Lizalfos Horn</v>
      </c>
      <c r="V470" s="62">
        <f>IFERROR(__xludf.DUMMYFUNCTION("SPLIT(U470,"" "")"),5.0)</f>
        <v>5</v>
      </c>
      <c r="W470" s="62" t="str">
        <f>IFERROR(__xludf.DUMMYFUNCTION("""COMPUTED_VALUE"""),"Fire-Breath")</f>
        <v>Fire-Breath</v>
      </c>
      <c r="X470" s="62" t="str">
        <f>IFERROR(__xludf.DUMMYFUNCTION("""COMPUTED_VALUE"""),"Lizalfos")</f>
        <v>Lizalfos</v>
      </c>
      <c r="Y470" s="62" t="str">
        <f>IFERROR(__xludf.DUMMYFUNCTION("""COMPUTED_VALUE"""),"Horn")</f>
        <v>Horn</v>
      </c>
      <c r="Z470" s="62"/>
      <c r="AA470" s="62"/>
      <c r="AB470" s="63"/>
      <c r="AC470" s="62" t="str">
        <f t="shared" si="2"/>
        <v>Fire-Breath Lizalfos Horn</v>
      </c>
    </row>
    <row r="471">
      <c r="U471" s="62" t="str">
        <f>IFERROR(__xludf.DUMMYFUNCTION("""COMPUTED_VALUE"""),"5 Summerwing Butterfly")</f>
        <v>5 Summerwing Butterfly</v>
      </c>
      <c r="V471" s="62">
        <f>IFERROR(__xludf.DUMMYFUNCTION("SPLIT(U471,"" "")"),5.0)</f>
        <v>5</v>
      </c>
      <c r="W471" s="62" t="str">
        <f>IFERROR(__xludf.DUMMYFUNCTION("""COMPUTED_VALUE"""),"Summerwing")</f>
        <v>Summerwing</v>
      </c>
      <c r="X471" s="62" t="str">
        <f>IFERROR(__xludf.DUMMYFUNCTION("""COMPUTED_VALUE"""),"Butterfly")</f>
        <v>Butterfly</v>
      </c>
      <c r="Y471" s="62"/>
      <c r="Z471" s="62"/>
      <c r="AA471" s="62"/>
      <c r="AB471" s="63"/>
      <c r="AC471" s="62" t="str">
        <f t="shared" si="2"/>
        <v>Summerwing Butterfly</v>
      </c>
    </row>
    <row r="472">
      <c r="U472" s="62" t="str">
        <f>IFERROR(__xludf.DUMMYFUNCTION("""COMPUTED_VALUE"""),"5 Fire Like Stone")</f>
        <v>5 Fire Like Stone</v>
      </c>
      <c r="V472" s="62">
        <f>IFERROR(__xludf.DUMMYFUNCTION("SPLIT(U472,"" "")"),5.0)</f>
        <v>5</v>
      </c>
      <c r="W472" s="62" t="str">
        <f>IFERROR(__xludf.DUMMYFUNCTION("""COMPUTED_VALUE"""),"Fire")</f>
        <v>Fire</v>
      </c>
      <c r="X472" s="62" t="str">
        <f>IFERROR(__xludf.DUMMYFUNCTION("""COMPUTED_VALUE"""),"Like")</f>
        <v>Like</v>
      </c>
      <c r="Y472" s="62" t="str">
        <f>IFERROR(__xludf.DUMMYFUNCTION("""COMPUTED_VALUE"""),"Stone")</f>
        <v>Stone</v>
      </c>
      <c r="Z472" s="62"/>
      <c r="AA472" s="62"/>
      <c r="AB472" s="63"/>
      <c r="AC472" s="62" t="str">
        <f t="shared" si="2"/>
        <v>Fire Like Stone</v>
      </c>
    </row>
    <row r="473">
      <c r="U473" s="62" t="str">
        <f>IFERROR(__xludf.DUMMYFUNCTION("""COMPUTED_VALUE"""),"5 Warm Darner")</f>
        <v>5 Warm Darner</v>
      </c>
      <c r="V473" s="62">
        <f>IFERROR(__xludf.DUMMYFUNCTION("SPLIT(U473,"" "")"),5.0)</f>
        <v>5</v>
      </c>
      <c r="W473" s="62" t="str">
        <f>IFERROR(__xludf.DUMMYFUNCTION("""COMPUTED_VALUE"""),"Warm")</f>
        <v>Warm</v>
      </c>
      <c r="X473" s="62" t="str">
        <f>IFERROR(__xludf.DUMMYFUNCTION("""COMPUTED_VALUE"""),"Darner")</f>
        <v>Darner</v>
      </c>
      <c r="Y473" s="62"/>
      <c r="Z473" s="62"/>
      <c r="AA473" s="62"/>
      <c r="AB473" s="63"/>
      <c r="AC473" s="62" t="str">
        <f t="shared" si="2"/>
        <v>Warm Darner</v>
      </c>
    </row>
    <row r="474">
      <c r="U474" s="62" t="str">
        <f>IFERROR(__xludf.DUMMYFUNCTION("""COMPUTED_VALUE"""),"5 Large Zonai Charge")</f>
        <v>5 Large Zonai Charge</v>
      </c>
      <c r="V474" s="62">
        <f>IFERROR(__xludf.DUMMYFUNCTION("SPLIT(U474,"" "")"),5.0)</f>
        <v>5</v>
      </c>
      <c r="W474" s="62" t="str">
        <f>IFERROR(__xludf.DUMMYFUNCTION("""COMPUTED_VALUE"""),"Large")</f>
        <v>Large</v>
      </c>
      <c r="X474" s="62" t="str">
        <f>IFERROR(__xludf.DUMMYFUNCTION("""COMPUTED_VALUE"""),"Zonai")</f>
        <v>Zonai</v>
      </c>
      <c r="Y474" s="62" t="str">
        <f>IFERROR(__xludf.DUMMYFUNCTION("""COMPUTED_VALUE"""),"Charge")</f>
        <v>Charge</v>
      </c>
      <c r="Z474" s="62"/>
      <c r="AA474" s="62"/>
      <c r="AB474" s="63"/>
      <c r="AC474" s="62" t="str">
        <f t="shared" si="2"/>
        <v>Large Zonai Charge</v>
      </c>
    </row>
    <row r="475">
      <c r="U475" s="62" t="str">
        <f>IFERROR(__xludf.DUMMYFUNCTION("""COMPUTED_VALUE"""),"5 Gleeok Flame Horn")</f>
        <v>5 Gleeok Flame Horn</v>
      </c>
      <c r="V475" s="62">
        <f>IFERROR(__xludf.DUMMYFUNCTION("SPLIT(U475,"" "")"),5.0)</f>
        <v>5</v>
      </c>
      <c r="W475" s="62" t="str">
        <f>IFERROR(__xludf.DUMMYFUNCTION("""COMPUTED_VALUE"""),"Gleeok")</f>
        <v>Gleeok</v>
      </c>
      <c r="X475" s="62" t="str">
        <f>IFERROR(__xludf.DUMMYFUNCTION("""COMPUTED_VALUE"""),"Flame")</f>
        <v>Flame</v>
      </c>
      <c r="Y475" s="62" t="str">
        <f>IFERROR(__xludf.DUMMYFUNCTION("""COMPUTED_VALUE"""),"Horn")</f>
        <v>Horn</v>
      </c>
      <c r="Z475" s="62"/>
      <c r="AA475" s="62"/>
      <c r="AB475" s="63"/>
      <c r="AC475" s="62" t="str">
        <f t="shared" si="2"/>
        <v>Gleeok Flame Horn</v>
      </c>
    </row>
    <row r="476">
      <c r="U476" s="62" t="str">
        <f>IFERROR(__xludf.DUMMYFUNCTION("""COMPUTED_VALUE"""),"10 Sizzlefin Trout")</f>
        <v>10 Sizzlefin Trout</v>
      </c>
      <c r="V476" s="62">
        <f>IFERROR(__xludf.DUMMYFUNCTION("SPLIT(U476,"" "")"),10.0)</f>
        <v>10</v>
      </c>
      <c r="W476" s="62" t="str">
        <f>IFERROR(__xludf.DUMMYFUNCTION("""COMPUTED_VALUE"""),"Sizzlefin")</f>
        <v>Sizzlefin</v>
      </c>
      <c r="X476" s="62" t="str">
        <f>IFERROR(__xludf.DUMMYFUNCTION("""COMPUTED_VALUE"""),"Trout")</f>
        <v>Trout</v>
      </c>
      <c r="Y476" s="62"/>
      <c r="Z476" s="62"/>
      <c r="AA476" s="62"/>
      <c r="AB476" s="63"/>
      <c r="AC476" s="62" t="str">
        <f t="shared" si="2"/>
        <v>Sizzlefin Trout</v>
      </c>
    </row>
    <row r="477">
      <c r="U477" s="62" t="str">
        <f>IFERROR(__xludf.DUMMYFUNCTION("""COMPUTED_VALUE"""),"10 Large Zonai Charge")</f>
        <v>10 Large Zonai Charge</v>
      </c>
      <c r="V477" s="62">
        <f>IFERROR(__xludf.DUMMYFUNCTION("SPLIT(U477,"" "")"),10.0)</f>
        <v>10</v>
      </c>
      <c r="W477" s="62" t="str">
        <f>IFERROR(__xludf.DUMMYFUNCTION("""COMPUTED_VALUE"""),"Large")</f>
        <v>Large</v>
      </c>
      <c r="X477" s="62" t="str">
        <f>IFERROR(__xludf.DUMMYFUNCTION("""COMPUTED_VALUE"""),"Zonai")</f>
        <v>Zonai</v>
      </c>
      <c r="Y477" s="62" t="str">
        <f>IFERROR(__xludf.DUMMYFUNCTION("""COMPUTED_VALUE"""),"Charge")</f>
        <v>Charge</v>
      </c>
      <c r="Z477" s="62"/>
      <c r="AA477" s="62"/>
      <c r="AB477" s="63"/>
      <c r="AC477" s="62" t="str">
        <f t="shared" si="2"/>
        <v>Large Zonai Charge</v>
      </c>
    </row>
    <row r="478">
      <c r="U478" s="62" t="str">
        <f>IFERROR(__xludf.DUMMYFUNCTION("""COMPUTED_VALUE"""),"3 Fire Fruit")</f>
        <v>3 Fire Fruit</v>
      </c>
      <c r="V478" s="62">
        <f>IFERROR(__xludf.DUMMYFUNCTION("SPLIT(U478,"" "")"),3.0)</f>
        <v>3</v>
      </c>
      <c r="W478" s="62" t="str">
        <f>IFERROR(__xludf.DUMMYFUNCTION("""COMPUTED_VALUE"""),"Fire")</f>
        <v>Fire</v>
      </c>
      <c r="X478" s="62" t="str">
        <f>IFERROR(__xludf.DUMMYFUNCTION("""COMPUTED_VALUE"""),"Fruit")</f>
        <v>Fruit</v>
      </c>
      <c r="Y478" s="62"/>
      <c r="Z478" s="62"/>
      <c r="AA478" s="62"/>
      <c r="AB478" s="63"/>
      <c r="AC478" s="62" t="str">
        <f t="shared" si="2"/>
        <v>Fire Fruit</v>
      </c>
    </row>
    <row r="479">
      <c r="U479" s="62" t="str">
        <f>IFERROR(__xludf.DUMMYFUNCTION("""COMPUTED_VALUE"""),"5 Fire-Breath Lizalfos Horn")</f>
        <v>5 Fire-Breath Lizalfos Horn</v>
      </c>
      <c r="V479" s="62">
        <f>IFERROR(__xludf.DUMMYFUNCTION("SPLIT(U479,"" "")"),5.0)</f>
        <v>5</v>
      </c>
      <c r="W479" s="62" t="str">
        <f>IFERROR(__xludf.DUMMYFUNCTION("""COMPUTED_VALUE"""),"Fire-Breath")</f>
        <v>Fire-Breath</v>
      </c>
      <c r="X479" s="62" t="str">
        <f>IFERROR(__xludf.DUMMYFUNCTION("""COMPUTED_VALUE"""),"Lizalfos")</f>
        <v>Lizalfos</v>
      </c>
      <c r="Y479" s="62" t="str">
        <f>IFERROR(__xludf.DUMMYFUNCTION("""COMPUTED_VALUE"""),"Horn")</f>
        <v>Horn</v>
      </c>
      <c r="Z479" s="62"/>
      <c r="AA479" s="62"/>
      <c r="AB479" s="63"/>
      <c r="AC479" s="62" t="str">
        <f t="shared" si="2"/>
        <v>Fire-Breath Lizalfos Horn</v>
      </c>
    </row>
    <row r="480">
      <c r="U480" s="62" t="str">
        <f>IFERROR(__xludf.DUMMYFUNCTION("""COMPUTED_VALUE"""),"5 Summerwing Butterfly")</f>
        <v>5 Summerwing Butterfly</v>
      </c>
      <c r="V480" s="62">
        <f>IFERROR(__xludf.DUMMYFUNCTION("SPLIT(U480,"" "")"),5.0)</f>
        <v>5</v>
      </c>
      <c r="W480" s="62" t="str">
        <f>IFERROR(__xludf.DUMMYFUNCTION("""COMPUTED_VALUE"""),"Summerwing")</f>
        <v>Summerwing</v>
      </c>
      <c r="X480" s="62" t="str">
        <f>IFERROR(__xludf.DUMMYFUNCTION("""COMPUTED_VALUE"""),"Butterfly")</f>
        <v>Butterfly</v>
      </c>
      <c r="Y480" s="62"/>
      <c r="Z480" s="62"/>
      <c r="AA480" s="62"/>
      <c r="AB480" s="63"/>
      <c r="AC480" s="62" t="str">
        <f t="shared" si="2"/>
        <v>Summerwing Butterfly</v>
      </c>
    </row>
    <row r="481">
      <c r="U481" s="62" t="str">
        <f>IFERROR(__xludf.DUMMYFUNCTION("""COMPUTED_VALUE"""),"5 Fire Like Stone")</f>
        <v>5 Fire Like Stone</v>
      </c>
      <c r="V481" s="62">
        <f>IFERROR(__xludf.DUMMYFUNCTION("SPLIT(U481,"" "")"),5.0)</f>
        <v>5</v>
      </c>
      <c r="W481" s="62" t="str">
        <f>IFERROR(__xludf.DUMMYFUNCTION("""COMPUTED_VALUE"""),"Fire")</f>
        <v>Fire</v>
      </c>
      <c r="X481" s="62" t="str">
        <f>IFERROR(__xludf.DUMMYFUNCTION("""COMPUTED_VALUE"""),"Like")</f>
        <v>Like</v>
      </c>
      <c r="Y481" s="62" t="str">
        <f>IFERROR(__xludf.DUMMYFUNCTION("""COMPUTED_VALUE"""),"Stone")</f>
        <v>Stone</v>
      </c>
      <c r="Z481" s="62"/>
      <c r="AA481" s="62"/>
      <c r="AB481" s="63"/>
      <c r="AC481" s="62" t="str">
        <f t="shared" si="2"/>
        <v>Fire Like Stone</v>
      </c>
    </row>
    <row r="482">
      <c r="U482" s="62" t="str">
        <f>IFERROR(__xludf.DUMMYFUNCTION("""COMPUTED_VALUE"""),"5 Warm Darner")</f>
        <v>5 Warm Darner</v>
      </c>
      <c r="V482" s="62">
        <f>IFERROR(__xludf.DUMMYFUNCTION("SPLIT(U482,"" "")"),5.0)</f>
        <v>5</v>
      </c>
      <c r="W482" s="62" t="str">
        <f>IFERROR(__xludf.DUMMYFUNCTION("""COMPUTED_VALUE"""),"Warm")</f>
        <v>Warm</v>
      </c>
      <c r="X482" s="62" t="str">
        <f>IFERROR(__xludf.DUMMYFUNCTION("""COMPUTED_VALUE"""),"Darner")</f>
        <v>Darner</v>
      </c>
      <c r="Y482" s="62"/>
      <c r="Z482" s="62"/>
      <c r="AA482" s="62"/>
      <c r="AB482" s="63"/>
      <c r="AC482" s="62" t="str">
        <f t="shared" si="2"/>
        <v>Warm Darner</v>
      </c>
    </row>
    <row r="483">
      <c r="U483" s="62" t="str">
        <f>IFERROR(__xludf.DUMMYFUNCTION("""COMPUTED_VALUE"""),"5 Large Zonai Charge")</f>
        <v>5 Large Zonai Charge</v>
      </c>
      <c r="V483" s="62">
        <f>IFERROR(__xludf.DUMMYFUNCTION("SPLIT(U483,"" "")"),5.0)</f>
        <v>5</v>
      </c>
      <c r="W483" s="62" t="str">
        <f>IFERROR(__xludf.DUMMYFUNCTION("""COMPUTED_VALUE"""),"Large")</f>
        <v>Large</v>
      </c>
      <c r="X483" s="62" t="str">
        <f>IFERROR(__xludf.DUMMYFUNCTION("""COMPUTED_VALUE"""),"Zonai")</f>
        <v>Zonai</v>
      </c>
      <c r="Y483" s="62" t="str">
        <f>IFERROR(__xludf.DUMMYFUNCTION("""COMPUTED_VALUE"""),"Charge")</f>
        <v>Charge</v>
      </c>
      <c r="Z483" s="62"/>
      <c r="AA483" s="62"/>
      <c r="AB483" s="63"/>
      <c r="AC483" s="62" t="str">
        <f t="shared" si="2"/>
        <v>Large Zonai Charge</v>
      </c>
    </row>
    <row r="484">
      <c r="U484" s="62" t="str">
        <f>IFERROR(__xludf.DUMMYFUNCTION("""COMPUTED_VALUE"""),"5 Gleeok Flame Horn")</f>
        <v>5 Gleeok Flame Horn</v>
      </c>
      <c r="V484" s="62">
        <f>IFERROR(__xludf.DUMMYFUNCTION("SPLIT(U484,"" "")"),5.0)</f>
        <v>5</v>
      </c>
      <c r="W484" s="62" t="str">
        <f>IFERROR(__xludf.DUMMYFUNCTION("""COMPUTED_VALUE"""),"Gleeok")</f>
        <v>Gleeok</v>
      </c>
      <c r="X484" s="62" t="str">
        <f>IFERROR(__xludf.DUMMYFUNCTION("""COMPUTED_VALUE"""),"Flame")</f>
        <v>Flame</v>
      </c>
      <c r="Y484" s="62" t="str">
        <f>IFERROR(__xludf.DUMMYFUNCTION("""COMPUTED_VALUE"""),"Horn")</f>
        <v>Horn</v>
      </c>
      <c r="Z484" s="62"/>
      <c r="AA484" s="62"/>
      <c r="AB484" s="63"/>
      <c r="AC484" s="62" t="str">
        <f t="shared" si="2"/>
        <v>Gleeok Flame Horn</v>
      </c>
    </row>
    <row r="485">
      <c r="U485" s="62" t="str">
        <f>IFERROR(__xludf.DUMMYFUNCTION("""COMPUTED_VALUE"""),"10 Sizzlefin Trout")</f>
        <v>10 Sizzlefin Trout</v>
      </c>
      <c r="V485" s="62">
        <f>IFERROR(__xludf.DUMMYFUNCTION("SPLIT(U485,"" "")"),10.0)</f>
        <v>10</v>
      </c>
      <c r="W485" s="62" t="str">
        <f>IFERROR(__xludf.DUMMYFUNCTION("""COMPUTED_VALUE"""),"Sizzlefin")</f>
        <v>Sizzlefin</v>
      </c>
      <c r="X485" s="62" t="str">
        <f>IFERROR(__xludf.DUMMYFUNCTION("""COMPUTED_VALUE"""),"Trout")</f>
        <v>Trout</v>
      </c>
      <c r="Y485" s="62"/>
      <c r="Z485" s="62"/>
      <c r="AA485" s="62"/>
      <c r="AB485" s="63"/>
      <c r="AC485" s="62" t="str">
        <f t="shared" si="2"/>
        <v>Sizzlefin Trout</v>
      </c>
    </row>
    <row r="486">
      <c r="U486" s="62" t="str">
        <f>IFERROR(__xludf.DUMMYFUNCTION("""COMPUTED_VALUE"""),"10 Large Zonai Charge")</f>
        <v>10 Large Zonai Charge</v>
      </c>
      <c r="V486" s="62">
        <f>IFERROR(__xludf.DUMMYFUNCTION("SPLIT(U486,"" "")"),10.0)</f>
        <v>10</v>
      </c>
      <c r="W486" s="62" t="str">
        <f>IFERROR(__xludf.DUMMYFUNCTION("""COMPUTED_VALUE"""),"Large")</f>
        <v>Large</v>
      </c>
      <c r="X486" s="62" t="str">
        <f>IFERROR(__xludf.DUMMYFUNCTION("""COMPUTED_VALUE"""),"Zonai")</f>
        <v>Zonai</v>
      </c>
      <c r="Y486" s="62" t="str">
        <f>IFERROR(__xludf.DUMMYFUNCTION("""COMPUTED_VALUE"""),"Charge")</f>
        <v>Charge</v>
      </c>
      <c r="Z486" s="62"/>
      <c r="AA486" s="62"/>
      <c r="AB486" s="63"/>
      <c r="AC486" s="62" t="str">
        <f t="shared" si="2"/>
        <v>Large Zonai Charge</v>
      </c>
    </row>
    <row r="487">
      <c r="U487" s="62" t="str">
        <f>IFERROR(__xludf.DUMMYFUNCTION("""COMPUTED_VALUE"""),"3 Fire Fruit")</f>
        <v>3 Fire Fruit</v>
      </c>
      <c r="V487" s="62">
        <f>IFERROR(__xludf.DUMMYFUNCTION("SPLIT(U487,"" "")"),3.0)</f>
        <v>3</v>
      </c>
      <c r="W487" s="62" t="str">
        <f>IFERROR(__xludf.DUMMYFUNCTION("""COMPUTED_VALUE"""),"Fire")</f>
        <v>Fire</v>
      </c>
      <c r="X487" s="62" t="str">
        <f>IFERROR(__xludf.DUMMYFUNCTION("""COMPUTED_VALUE"""),"Fruit")</f>
        <v>Fruit</v>
      </c>
      <c r="Y487" s="62"/>
      <c r="Z487" s="62"/>
      <c r="AA487" s="62"/>
      <c r="AB487" s="63"/>
      <c r="AC487" s="62" t="str">
        <f t="shared" si="2"/>
        <v>Fire Fruit</v>
      </c>
    </row>
    <row r="488">
      <c r="U488" s="62" t="str">
        <f>IFERROR(__xludf.DUMMYFUNCTION("""COMPUTED_VALUE"""),"5 Fire-Breath Lizalfos Horn")</f>
        <v>5 Fire-Breath Lizalfos Horn</v>
      </c>
      <c r="V488" s="62">
        <f>IFERROR(__xludf.DUMMYFUNCTION("SPLIT(U488,"" "")"),5.0)</f>
        <v>5</v>
      </c>
      <c r="W488" s="62" t="str">
        <f>IFERROR(__xludf.DUMMYFUNCTION("""COMPUTED_VALUE"""),"Fire-Breath")</f>
        <v>Fire-Breath</v>
      </c>
      <c r="X488" s="62" t="str">
        <f>IFERROR(__xludf.DUMMYFUNCTION("""COMPUTED_VALUE"""),"Lizalfos")</f>
        <v>Lizalfos</v>
      </c>
      <c r="Y488" s="62" t="str">
        <f>IFERROR(__xludf.DUMMYFUNCTION("""COMPUTED_VALUE"""),"Horn")</f>
        <v>Horn</v>
      </c>
      <c r="Z488" s="62"/>
      <c r="AA488" s="62"/>
      <c r="AB488" s="63"/>
      <c r="AC488" s="62" t="str">
        <f t="shared" si="2"/>
        <v>Fire-Breath Lizalfos Horn</v>
      </c>
    </row>
    <row r="489">
      <c r="U489" s="62" t="str">
        <f>IFERROR(__xludf.DUMMYFUNCTION("""COMPUTED_VALUE"""),"5 Summerwing Butterfly")</f>
        <v>5 Summerwing Butterfly</v>
      </c>
      <c r="V489" s="62">
        <f>IFERROR(__xludf.DUMMYFUNCTION("SPLIT(U489,"" "")"),5.0)</f>
        <v>5</v>
      </c>
      <c r="W489" s="62" t="str">
        <f>IFERROR(__xludf.DUMMYFUNCTION("""COMPUTED_VALUE"""),"Summerwing")</f>
        <v>Summerwing</v>
      </c>
      <c r="X489" s="62" t="str">
        <f>IFERROR(__xludf.DUMMYFUNCTION("""COMPUTED_VALUE"""),"Butterfly")</f>
        <v>Butterfly</v>
      </c>
      <c r="Y489" s="62"/>
      <c r="Z489" s="62"/>
      <c r="AA489" s="62"/>
      <c r="AB489" s="63"/>
      <c r="AC489" s="62" t="str">
        <f t="shared" si="2"/>
        <v>Summerwing Butterfly</v>
      </c>
    </row>
    <row r="490">
      <c r="U490" s="62" t="str">
        <f>IFERROR(__xludf.DUMMYFUNCTION("""COMPUTED_VALUE"""),"5 Fire Like Stone")</f>
        <v>5 Fire Like Stone</v>
      </c>
      <c r="V490" s="62">
        <f>IFERROR(__xludf.DUMMYFUNCTION("SPLIT(U490,"" "")"),5.0)</f>
        <v>5</v>
      </c>
      <c r="W490" s="62" t="str">
        <f>IFERROR(__xludf.DUMMYFUNCTION("""COMPUTED_VALUE"""),"Fire")</f>
        <v>Fire</v>
      </c>
      <c r="X490" s="62" t="str">
        <f>IFERROR(__xludf.DUMMYFUNCTION("""COMPUTED_VALUE"""),"Like")</f>
        <v>Like</v>
      </c>
      <c r="Y490" s="62" t="str">
        <f>IFERROR(__xludf.DUMMYFUNCTION("""COMPUTED_VALUE"""),"Stone")</f>
        <v>Stone</v>
      </c>
      <c r="Z490" s="62"/>
      <c r="AA490" s="62"/>
      <c r="AB490" s="63"/>
      <c r="AC490" s="62" t="str">
        <f t="shared" si="2"/>
        <v>Fire Like Stone</v>
      </c>
    </row>
    <row r="491">
      <c r="U491" s="62" t="str">
        <f>IFERROR(__xludf.DUMMYFUNCTION("""COMPUTED_VALUE"""),"5 Warm Darner")</f>
        <v>5 Warm Darner</v>
      </c>
      <c r="V491" s="62">
        <f>IFERROR(__xludf.DUMMYFUNCTION("SPLIT(U491,"" "")"),5.0)</f>
        <v>5</v>
      </c>
      <c r="W491" s="62" t="str">
        <f>IFERROR(__xludf.DUMMYFUNCTION("""COMPUTED_VALUE"""),"Warm")</f>
        <v>Warm</v>
      </c>
      <c r="X491" s="62" t="str">
        <f>IFERROR(__xludf.DUMMYFUNCTION("""COMPUTED_VALUE"""),"Darner")</f>
        <v>Darner</v>
      </c>
      <c r="Y491" s="62"/>
      <c r="Z491" s="62"/>
      <c r="AA491" s="62"/>
      <c r="AB491" s="63"/>
      <c r="AC491" s="62" t="str">
        <f t="shared" si="2"/>
        <v>Warm Darner</v>
      </c>
    </row>
    <row r="492">
      <c r="U492" s="62" t="str">
        <f>IFERROR(__xludf.DUMMYFUNCTION("""COMPUTED_VALUE"""),"5 Large Zonai Charge")</f>
        <v>5 Large Zonai Charge</v>
      </c>
      <c r="V492" s="62">
        <f>IFERROR(__xludf.DUMMYFUNCTION("SPLIT(U492,"" "")"),5.0)</f>
        <v>5</v>
      </c>
      <c r="W492" s="62" t="str">
        <f>IFERROR(__xludf.DUMMYFUNCTION("""COMPUTED_VALUE"""),"Large")</f>
        <v>Large</v>
      </c>
      <c r="X492" s="62" t="str">
        <f>IFERROR(__xludf.DUMMYFUNCTION("""COMPUTED_VALUE"""),"Zonai")</f>
        <v>Zonai</v>
      </c>
      <c r="Y492" s="62" t="str">
        <f>IFERROR(__xludf.DUMMYFUNCTION("""COMPUTED_VALUE"""),"Charge")</f>
        <v>Charge</v>
      </c>
      <c r="Z492" s="62"/>
      <c r="AA492" s="62"/>
      <c r="AB492" s="63"/>
      <c r="AC492" s="62" t="str">
        <f t="shared" si="2"/>
        <v>Large Zonai Charge</v>
      </c>
    </row>
    <row r="493">
      <c r="U493" s="62" t="str">
        <f>IFERROR(__xludf.DUMMYFUNCTION("""COMPUTED_VALUE"""),"5 Gleeok Flame Horn")</f>
        <v>5 Gleeok Flame Horn</v>
      </c>
      <c r="V493" s="62">
        <f>IFERROR(__xludf.DUMMYFUNCTION("SPLIT(U493,"" "")"),5.0)</f>
        <v>5</v>
      </c>
      <c r="W493" s="62" t="str">
        <f>IFERROR(__xludf.DUMMYFUNCTION("""COMPUTED_VALUE"""),"Gleeok")</f>
        <v>Gleeok</v>
      </c>
      <c r="X493" s="62" t="str">
        <f>IFERROR(__xludf.DUMMYFUNCTION("""COMPUTED_VALUE"""),"Flame")</f>
        <v>Flame</v>
      </c>
      <c r="Y493" s="62" t="str">
        <f>IFERROR(__xludf.DUMMYFUNCTION("""COMPUTED_VALUE"""),"Horn")</f>
        <v>Horn</v>
      </c>
      <c r="Z493" s="62"/>
      <c r="AA493" s="62"/>
      <c r="AB493" s="63"/>
      <c r="AC493" s="62" t="str">
        <f t="shared" si="2"/>
        <v>Gleeok Flame Horn</v>
      </c>
    </row>
    <row r="494">
      <c r="U494" s="62" t="str">
        <f>IFERROR(__xludf.DUMMYFUNCTION("""COMPUTED_VALUE"""),"10 Sizzlefin Trout")</f>
        <v>10 Sizzlefin Trout</v>
      </c>
      <c r="V494" s="62">
        <f>IFERROR(__xludf.DUMMYFUNCTION("SPLIT(U494,"" "")"),10.0)</f>
        <v>10</v>
      </c>
      <c r="W494" s="62" t="str">
        <f>IFERROR(__xludf.DUMMYFUNCTION("""COMPUTED_VALUE"""),"Sizzlefin")</f>
        <v>Sizzlefin</v>
      </c>
      <c r="X494" s="62" t="str">
        <f>IFERROR(__xludf.DUMMYFUNCTION("""COMPUTED_VALUE"""),"Trout")</f>
        <v>Trout</v>
      </c>
      <c r="Y494" s="62"/>
      <c r="Z494" s="62"/>
      <c r="AA494" s="62"/>
      <c r="AB494" s="63"/>
      <c r="AC494" s="62" t="str">
        <f t="shared" si="2"/>
        <v>Sizzlefin Trout</v>
      </c>
    </row>
    <row r="495">
      <c r="U495" s="62" t="str">
        <f>IFERROR(__xludf.DUMMYFUNCTION("""COMPUTED_VALUE"""),"10 Large Zonai Charge")</f>
        <v>10 Large Zonai Charge</v>
      </c>
      <c r="V495" s="62">
        <f>IFERROR(__xludf.DUMMYFUNCTION("SPLIT(U495,"" "")"),10.0)</f>
        <v>10</v>
      </c>
      <c r="W495" s="62" t="str">
        <f>IFERROR(__xludf.DUMMYFUNCTION("""COMPUTED_VALUE"""),"Large")</f>
        <v>Large</v>
      </c>
      <c r="X495" s="62" t="str">
        <f>IFERROR(__xludf.DUMMYFUNCTION("""COMPUTED_VALUE"""),"Zonai")</f>
        <v>Zonai</v>
      </c>
      <c r="Y495" s="62" t="str">
        <f>IFERROR(__xludf.DUMMYFUNCTION("""COMPUTED_VALUE"""),"Charge")</f>
        <v>Charge</v>
      </c>
      <c r="Z495" s="62"/>
      <c r="AA495" s="62"/>
      <c r="AB495" s="63"/>
      <c r="AC495" s="62" t="str">
        <f t="shared" si="2"/>
        <v>Large Zonai Charge</v>
      </c>
    </row>
    <row r="496">
      <c r="U496" s="62" t="str">
        <f>IFERROR(__xludf.DUMMYFUNCTION("""COMPUTED_VALUE"""),"3 Shock Fruit")</f>
        <v>3 Shock Fruit</v>
      </c>
      <c r="V496" s="62">
        <f>IFERROR(__xludf.DUMMYFUNCTION("SPLIT(U496,"" "")"),3.0)</f>
        <v>3</v>
      </c>
      <c r="W496" s="62" t="str">
        <f>IFERROR(__xludf.DUMMYFUNCTION("""COMPUTED_VALUE"""),"Shock")</f>
        <v>Shock</v>
      </c>
      <c r="X496" s="62" t="str">
        <f>IFERROR(__xludf.DUMMYFUNCTION("""COMPUTED_VALUE"""),"Fruit")</f>
        <v>Fruit</v>
      </c>
      <c r="Y496" s="62"/>
      <c r="Z496" s="62"/>
      <c r="AA496" s="62"/>
      <c r="AB496" s="63"/>
      <c r="AC496" s="62" t="str">
        <f t="shared" si="2"/>
        <v>Shock Fruit</v>
      </c>
    </row>
    <row r="497">
      <c r="U497" s="62" t="str">
        <f>IFERROR(__xludf.DUMMYFUNCTION("""COMPUTED_VALUE"""),"5 Electric Lizalfos Horn")</f>
        <v>5 Electric Lizalfos Horn</v>
      </c>
      <c r="V497" s="62">
        <f>IFERROR(__xludf.DUMMYFUNCTION("SPLIT(U497,"" "")"),5.0)</f>
        <v>5</v>
      </c>
      <c r="W497" s="62" t="str">
        <f>IFERROR(__xludf.DUMMYFUNCTION("""COMPUTED_VALUE"""),"Electric")</f>
        <v>Electric</v>
      </c>
      <c r="X497" s="62" t="str">
        <f>IFERROR(__xludf.DUMMYFUNCTION("""COMPUTED_VALUE"""),"Lizalfos")</f>
        <v>Lizalfos</v>
      </c>
      <c r="Y497" s="62" t="str">
        <f>IFERROR(__xludf.DUMMYFUNCTION("""COMPUTED_VALUE"""),"Horn")</f>
        <v>Horn</v>
      </c>
      <c r="Z497" s="62"/>
      <c r="AA497" s="62"/>
      <c r="AB497" s="63"/>
      <c r="AC497" s="62" t="str">
        <f t="shared" si="2"/>
        <v>Electric Lizalfos Horn</v>
      </c>
    </row>
    <row r="498">
      <c r="U498" s="62" t="str">
        <f>IFERROR(__xludf.DUMMYFUNCTION("""COMPUTED_VALUE"""),"3 Thunderwing Butterfly")</f>
        <v>3 Thunderwing Butterfly</v>
      </c>
      <c r="V498" s="62">
        <f>IFERROR(__xludf.DUMMYFUNCTION("SPLIT(U498,"" "")"),3.0)</f>
        <v>3</v>
      </c>
      <c r="W498" s="62" t="str">
        <f>IFERROR(__xludf.DUMMYFUNCTION("""COMPUTED_VALUE"""),"Thunderwing")</f>
        <v>Thunderwing</v>
      </c>
      <c r="X498" s="62" t="str">
        <f>IFERROR(__xludf.DUMMYFUNCTION("""COMPUTED_VALUE"""),"Butterfly")</f>
        <v>Butterfly</v>
      </c>
      <c r="Y498" s="62"/>
      <c r="Z498" s="62"/>
      <c r="AA498" s="62"/>
      <c r="AB498" s="63"/>
      <c r="AC498" s="62" t="str">
        <f t="shared" si="2"/>
        <v>Thunderwing Butterfly</v>
      </c>
    </row>
    <row r="499">
      <c r="U499" s="62" t="str">
        <f>IFERROR(__xludf.DUMMYFUNCTION("""COMPUTED_VALUE"""),"5 Shock Like Stone")</f>
        <v>5 Shock Like Stone</v>
      </c>
      <c r="V499" s="62">
        <f>IFERROR(__xludf.DUMMYFUNCTION("SPLIT(U499,"" "")"),5.0)</f>
        <v>5</v>
      </c>
      <c r="W499" s="62" t="str">
        <f>IFERROR(__xludf.DUMMYFUNCTION("""COMPUTED_VALUE"""),"Shock")</f>
        <v>Shock</v>
      </c>
      <c r="X499" s="62" t="str">
        <f>IFERROR(__xludf.DUMMYFUNCTION("""COMPUTED_VALUE"""),"Like")</f>
        <v>Like</v>
      </c>
      <c r="Y499" s="62" t="str">
        <f>IFERROR(__xludf.DUMMYFUNCTION("""COMPUTED_VALUE"""),"Stone")</f>
        <v>Stone</v>
      </c>
      <c r="Z499" s="62"/>
      <c r="AA499" s="62"/>
      <c r="AB499" s="63"/>
      <c r="AC499" s="62" t="str">
        <f t="shared" si="2"/>
        <v>Shock Like Stone</v>
      </c>
    </row>
    <row r="500">
      <c r="U500" s="62" t="str">
        <f>IFERROR(__xludf.DUMMYFUNCTION("""COMPUTED_VALUE"""),"5 Electric Darner")</f>
        <v>5 Electric Darner</v>
      </c>
      <c r="V500" s="62">
        <f>IFERROR(__xludf.DUMMYFUNCTION("SPLIT(U500,"" "")"),5.0)</f>
        <v>5</v>
      </c>
      <c r="W500" s="62" t="str">
        <f>IFERROR(__xludf.DUMMYFUNCTION("""COMPUTED_VALUE"""),"Electric")</f>
        <v>Electric</v>
      </c>
      <c r="X500" s="62" t="str">
        <f>IFERROR(__xludf.DUMMYFUNCTION("""COMPUTED_VALUE"""),"Darner")</f>
        <v>Darner</v>
      </c>
      <c r="Y500" s="62"/>
      <c r="Z500" s="62"/>
      <c r="AA500" s="62"/>
      <c r="AB500" s="63"/>
      <c r="AC500" s="62" t="str">
        <f t="shared" si="2"/>
        <v>Electric Darner</v>
      </c>
    </row>
    <row r="501">
      <c r="U501" s="62" t="str">
        <f>IFERROR(__xludf.DUMMYFUNCTION("""COMPUTED_VALUE"""),"3 Large Zonai Charge")</f>
        <v>3 Large Zonai Charge</v>
      </c>
      <c r="V501" s="62">
        <f>IFERROR(__xludf.DUMMYFUNCTION("SPLIT(U501,"" "")"),3.0)</f>
        <v>3</v>
      </c>
      <c r="W501" s="62" t="str">
        <f>IFERROR(__xludf.DUMMYFUNCTION("""COMPUTED_VALUE"""),"Large")</f>
        <v>Large</v>
      </c>
      <c r="X501" s="62" t="str">
        <f>IFERROR(__xludf.DUMMYFUNCTION("""COMPUTED_VALUE"""),"Zonai")</f>
        <v>Zonai</v>
      </c>
      <c r="Y501" s="62" t="str">
        <f>IFERROR(__xludf.DUMMYFUNCTION("""COMPUTED_VALUE"""),"Charge")</f>
        <v>Charge</v>
      </c>
      <c r="Z501" s="62"/>
      <c r="AA501" s="62"/>
      <c r="AB501" s="63"/>
      <c r="AC501" s="62" t="str">
        <f t="shared" si="2"/>
        <v>Large Zonai Charge</v>
      </c>
    </row>
    <row r="502">
      <c r="U502" s="62" t="str">
        <f>IFERROR(__xludf.DUMMYFUNCTION("""COMPUTED_VALUE"""),"5 Gleeok Thunder Horn")</f>
        <v>5 Gleeok Thunder Horn</v>
      </c>
      <c r="V502" s="62">
        <f>IFERROR(__xludf.DUMMYFUNCTION("SPLIT(U502,"" "")"),5.0)</f>
        <v>5</v>
      </c>
      <c r="W502" s="62" t="str">
        <f>IFERROR(__xludf.DUMMYFUNCTION("""COMPUTED_VALUE"""),"Gleeok")</f>
        <v>Gleeok</v>
      </c>
      <c r="X502" s="62" t="str">
        <f>IFERROR(__xludf.DUMMYFUNCTION("""COMPUTED_VALUE"""),"Thunder")</f>
        <v>Thunder</v>
      </c>
      <c r="Y502" s="62" t="str">
        <f>IFERROR(__xludf.DUMMYFUNCTION("""COMPUTED_VALUE"""),"Horn")</f>
        <v>Horn</v>
      </c>
      <c r="Z502" s="62"/>
      <c r="AA502" s="62"/>
      <c r="AB502" s="63"/>
      <c r="AC502" s="62" t="str">
        <f t="shared" si="2"/>
        <v>Gleeok Thunder Horn</v>
      </c>
    </row>
    <row r="503">
      <c r="U503" s="62" t="str">
        <f>IFERROR(__xludf.DUMMYFUNCTION("""COMPUTED_VALUE"""),"10 Voltfin Trout")</f>
        <v>10 Voltfin Trout</v>
      </c>
      <c r="V503" s="62">
        <f>IFERROR(__xludf.DUMMYFUNCTION("SPLIT(U503,"" "")"),10.0)</f>
        <v>10</v>
      </c>
      <c r="W503" s="62" t="str">
        <f>IFERROR(__xludf.DUMMYFUNCTION("""COMPUTED_VALUE"""),"Voltfin")</f>
        <v>Voltfin</v>
      </c>
      <c r="X503" s="62" t="str">
        <f>IFERROR(__xludf.DUMMYFUNCTION("""COMPUTED_VALUE"""),"Trout")</f>
        <v>Trout</v>
      </c>
      <c r="Y503" s="62"/>
      <c r="Z503" s="62"/>
      <c r="AA503" s="62"/>
      <c r="AB503" s="63"/>
      <c r="AC503" s="62" t="str">
        <f t="shared" si="2"/>
        <v>Voltfin Trout</v>
      </c>
    </row>
    <row r="504">
      <c r="U504" s="62" t="str">
        <f>IFERROR(__xludf.DUMMYFUNCTION("""COMPUTED_VALUE"""),"5 Large Zonai Charge")</f>
        <v>5 Large Zonai Charge</v>
      </c>
      <c r="V504" s="62">
        <f>IFERROR(__xludf.DUMMYFUNCTION("SPLIT(U504,"" "")"),5.0)</f>
        <v>5</v>
      </c>
      <c r="W504" s="62" t="str">
        <f>IFERROR(__xludf.DUMMYFUNCTION("""COMPUTED_VALUE"""),"Large")</f>
        <v>Large</v>
      </c>
      <c r="X504" s="62" t="str">
        <f>IFERROR(__xludf.DUMMYFUNCTION("""COMPUTED_VALUE"""),"Zonai")</f>
        <v>Zonai</v>
      </c>
      <c r="Y504" s="62" t="str">
        <f>IFERROR(__xludf.DUMMYFUNCTION("""COMPUTED_VALUE"""),"Charge")</f>
        <v>Charge</v>
      </c>
      <c r="Z504" s="62"/>
      <c r="AA504" s="62"/>
      <c r="AB504" s="63"/>
      <c r="AC504" s="62" t="str">
        <f t="shared" si="2"/>
        <v>Large Zonai Charge</v>
      </c>
    </row>
    <row r="505">
      <c r="U505" s="62" t="str">
        <f>IFERROR(__xludf.DUMMYFUNCTION("""COMPUTED_VALUE"""),"3 Shock Fruit")</f>
        <v>3 Shock Fruit</v>
      </c>
      <c r="V505" s="62">
        <f>IFERROR(__xludf.DUMMYFUNCTION("SPLIT(U505,"" "")"),3.0)</f>
        <v>3</v>
      </c>
      <c r="W505" s="62" t="str">
        <f>IFERROR(__xludf.DUMMYFUNCTION("""COMPUTED_VALUE"""),"Shock")</f>
        <v>Shock</v>
      </c>
      <c r="X505" s="62" t="str">
        <f>IFERROR(__xludf.DUMMYFUNCTION("""COMPUTED_VALUE"""),"Fruit")</f>
        <v>Fruit</v>
      </c>
      <c r="Y505" s="62"/>
      <c r="Z505" s="62"/>
      <c r="AA505" s="62"/>
      <c r="AB505" s="63"/>
      <c r="AC505" s="62" t="str">
        <f t="shared" si="2"/>
        <v>Shock Fruit</v>
      </c>
    </row>
    <row r="506">
      <c r="U506" s="62" t="str">
        <f>IFERROR(__xludf.DUMMYFUNCTION("""COMPUTED_VALUE"""),"5 Electric Lizalfos Horn")</f>
        <v>5 Electric Lizalfos Horn</v>
      </c>
      <c r="V506" s="62">
        <f>IFERROR(__xludf.DUMMYFUNCTION("SPLIT(U506,"" "")"),5.0)</f>
        <v>5</v>
      </c>
      <c r="W506" s="62" t="str">
        <f>IFERROR(__xludf.DUMMYFUNCTION("""COMPUTED_VALUE"""),"Electric")</f>
        <v>Electric</v>
      </c>
      <c r="X506" s="62" t="str">
        <f>IFERROR(__xludf.DUMMYFUNCTION("""COMPUTED_VALUE"""),"Lizalfos")</f>
        <v>Lizalfos</v>
      </c>
      <c r="Y506" s="62" t="str">
        <f>IFERROR(__xludf.DUMMYFUNCTION("""COMPUTED_VALUE"""),"Horn")</f>
        <v>Horn</v>
      </c>
      <c r="Z506" s="62"/>
      <c r="AA506" s="62"/>
      <c r="AB506" s="63"/>
      <c r="AC506" s="62" t="str">
        <f t="shared" si="2"/>
        <v>Electric Lizalfos Horn</v>
      </c>
    </row>
    <row r="507">
      <c r="U507" s="62" t="str">
        <f>IFERROR(__xludf.DUMMYFUNCTION("""COMPUTED_VALUE"""),"3 Thunderwing Butterfly")</f>
        <v>3 Thunderwing Butterfly</v>
      </c>
      <c r="V507" s="62">
        <f>IFERROR(__xludf.DUMMYFUNCTION("SPLIT(U507,"" "")"),3.0)</f>
        <v>3</v>
      </c>
      <c r="W507" s="62" t="str">
        <f>IFERROR(__xludf.DUMMYFUNCTION("""COMPUTED_VALUE"""),"Thunderwing")</f>
        <v>Thunderwing</v>
      </c>
      <c r="X507" s="62" t="str">
        <f>IFERROR(__xludf.DUMMYFUNCTION("""COMPUTED_VALUE"""),"Butterfly")</f>
        <v>Butterfly</v>
      </c>
      <c r="Y507" s="62"/>
      <c r="Z507" s="62"/>
      <c r="AA507" s="62"/>
      <c r="AB507" s="63"/>
      <c r="AC507" s="62" t="str">
        <f t="shared" si="2"/>
        <v>Thunderwing Butterfly</v>
      </c>
    </row>
    <row r="508">
      <c r="U508" s="62" t="str">
        <f>IFERROR(__xludf.DUMMYFUNCTION("""COMPUTED_VALUE"""),"5 Shock Like Stone")</f>
        <v>5 Shock Like Stone</v>
      </c>
      <c r="V508" s="62">
        <f>IFERROR(__xludf.DUMMYFUNCTION("SPLIT(U508,"" "")"),5.0)</f>
        <v>5</v>
      </c>
      <c r="W508" s="62" t="str">
        <f>IFERROR(__xludf.DUMMYFUNCTION("""COMPUTED_VALUE"""),"Shock")</f>
        <v>Shock</v>
      </c>
      <c r="X508" s="62" t="str">
        <f>IFERROR(__xludf.DUMMYFUNCTION("""COMPUTED_VALUE"""),"Like")</f>
        <v>Like</v>
      </c>
      <c r="Y508" s="62" t="str">
        <f>IFERROR(__xludf.DUMMYFUNCTION("""COMPUTED_VALUE"""),"Stone")</f>
        <v>Stone</v>
      </c>
      <c r="Z508" s="62"/>
      <c r="AA508" s="62"/>
      <c r="AB508" s="63"/>
      <c r="AC508" s="62" t="str">
        <f t="shared" si="2"/>
        <v>Shock Like Stone</v>
      </c>
    </row>
    <row r="509">
      <c r="U509" s="62" t="str">
        <f>IFERROR(__xludf.DUMMYFUNCTION("""COMPUTED_VALUE"""),"5 Electric Darner")</f>
        <v>5 Electric Darner</v>
      </c>
      <c r="V509" s="62">
        <f>IFERROR(__xludf.DUMMYFUNCTION("SPLIT(U509,"" "")"),5.0)</f>
        <v>5</v>
      </c>
      <c r="W509" s="62" t="str">
        <f>IFERROR(__xludf.DUMMYFUNCTION("""COMPUTED_VALUE"""),"Electric")</f>
        <v>Electric</v>
      </c>
      <c r="X509" s="62" t="str">
        <f>IFERROR(__xludf.DUMMYFUNCTION("""COMPUTED_VALUE"""),"Darner")</f>
        <v>Darner</v>
      </c>
      <c r="Y509" s="62"/>
      <c r="Z509" s="62"/>
      <c r="AA509" s="62"/>
      <c r="AB509" s="63"/>
      <c r="AC509" s="62" t="str">
        <f t="shared" si="2"/>
        <v>Electric Darner</v>
      </c>
    </row>
    <row r="510">
      <c r="U510" s="62" t="str">
        <f>IFERROR(__xludf.DUMMYFUNCTION("""COMPUTED_VALUE"""),"3 Large Zonai Charge")</f>
        <v>3 Large Zonai Charge</v>
      </c>
      <c r="V510" s="62">
        <f>IFERROR(__xludf.DUMMYFUNCTION("SPLIT(U510,"" "")"),3.0)</f>
        <v>3</v>
      </c>
      <c r="W510" s="62" t="str">
        <f>IFERROR(__xludf.DUMMYFUNCTION("""COMPUTED_VALUE"""),"Large")</f>
        <v>Large</v>
      </c>
      <c r="X510" s="62" t="str">
        <f>IFERROR(__xludf.DUMMYFUNCTION("""COMPUTED_VALUE"""),"Zonai")</f>
        <v>Zonai</v>
      </c>
      <c r="Y510" s="62" t="str">
        <f>IFERROR(__xludf.DUMMYFUNCTION("""COMPUTED_VALUE"""),"Charge")</f>
        <v>Charge</v>
      </c>
      <c r="Z510" s="62"/>
      <c r="AA510" s="62"/>
      <c r="AB510" s="63"/>
      <c r="AC510" s="62" t="str">
        <f t="shared" si="2"/>
        <v>Large Zonai Charge</v>
      </c>
    </row>
    <row r="511">
      <c r="U511" s="62" t="str">
        <f>IFERROR(__xludf.DUMMYFUNCTION("""COMPUTED_VALUE"""),"5 Gleeok Thunder Horn")</f>
        <v>5 Gleeok Thunder Horn</v>
      </c>
      <c r="V511" s="62">
        <f>IFERROR(__xludf.DUMMYFUNCTION("SPLIT(U511,"" "")"),5.0)</f>
        <v>5</v>
      </c>
      <c r="W511" s="62" t="str">
        <f>IFERROR(__xludf.DUMMYFUNCTION("""COMPUTED_VALUE"""),"Gleeok")</f>
        <v>Gleeok</v>
      </c>
      <c r="X511" s="62" t="str">
        <f>IFERROR(__xludf.DUMMYFUNCTION("""COMPUTED_VALUE"""),"Thunder")</f>
        <v>Thunder</v>
      </c>
      <c r="Y511" s="62" t="str">
        <f>IFERROR(__xludf.DUMMYFUNCTION("""COMPUTED_VALUE"""),"Horn")</f>
        <v>Horn</v>
      </c>
      <c r="Z511" s="62"/>
      <c r="AA511" s="62"/>
      <c r="AB511" s="63"/>
      <c r="AC511" s="62" t="str">
        <f t="shared" si="2"/>
        <v>Gleeok Thunder Horn</v>
      </c>
    </row>
    <row r="512">
      <c r="U512" s="62" t="str">
        <f>IFERROR(__xludf.DUMMYFUNCTION("""COMPUTED_VALUE"""),"10 Voltfin Trout")</f>
        <v>10 Voltfin Trout</v>
      </c>
      <c r="V512" s="62">
        <f>IFERROR(__xludf.DUMMYFUNCTION("SPLIT(U512,"" "")"),10.0)</f>
        <v>10</v>
      </c>
      <c r="W512" s="62" t="str">
        <f>IFERROR(__xludf.DUMMYFUNCTION("""COMPUTED_VALUE"""),"Voltfin")</f>
        <v>Voltfin</v>
      </c>
      <c r="X512" s="62" t="str">
        <f>IFERROR(__xludf.DUMMYFUNCTION("""COMPUTED_VALUE"""),"Trout")</f>
        <v>Trout</v>
      </c>
      <c r="Y512" s="62"/>
      <c r="Z512" s="62"/>
      <c r="AA512" s="62"/>
      <c r="AB512" s="63"/>
      <c r="AC512" s="62" t="str">
        <f t="shared" si="2"/>
        <v>Voltfin Trout</v>
      </c>
    </row>
    <row r="513">
      <c r="U513" s="62" t="str">
        <f>IFERROR(__xludf.DUMMYFUNCTION("""COMPUTED_VALUE"""),"5 Large Zonai Charge")</f>
        <v>5 Large Zonai Charge</v>
      </c>
      <c r="V513" s="62">
        <f>IFERROR(__xludf.DUMMYFUNCTION("SPLIT(U513,"" "")"),5.0)</f>
        <v>5</v>
      </c>
      <c r="W513" s="62" t="str">
        <f>IFERROR(__xludf.DUMMYFUNCTION("""COMPUTED_VALUE"""),"Large")</f>
        <v>Large</v>
      </c>
      <c r="X513" s="62" t="str">
        <f>IFERROR(__xludf.DUMMYFUNCTION("""COMPUTED_VALUE"""),"Zonai")</f>
        <v>Zonai</v>
      </c>
      <c r="Y513" s="62" t="str">
        <f>IFERROR(__xludf.DUMMYFUNCTION("""COMPUTED_VALUE"""),"Charge")</f>
        <v>Charge</v>
      </c>
      <c r="Z513" s="62"/>
      <c r="AA513" s="62"/>
      <c r="AB513" s="63"/>
      <c r="AC513" s="62" t="str">
        <f t="shared" si="2"/>
        <v>Large Zonai Charge</v>
      </c>
    </row>
    <row r="514">
      <c r="U514" s="62" t="str">
        <f>IFERROR(__xludf.DUMMYFUNCTION("""COMPUTED_VALUE"""),"3 Shock Fruit")</f>
        <v>3 Shock Fruit</v>
      </c>
      <c r="V514" s="62">
        <f>IFERROR(__xludf.DUMMYFUNCTION("SPLIT(U514,"" "")"),3.0)</f>
        <v>3</v>
      </c>
      <c r="W514" s="62" t="str">
        <f>IFERROR(__xludf.DUMMYFUNCTION("""COMPUTED_VALUE"""),"Shock")</f>
        <v>Shock</v>
      </c>
      <c r="X514" s="62" t="str">
        <f>IFERROR(__xludf.DUMMYFUNCTION("""COMPUTED_VALUE"""),"Fruit")</f>
        <v>Fruit</v>
      </c>
      <c r="Y514" s="62"/>
      <c r="Z514" s="62"/>
      <c r="AA514" s="62"/>
      <c r="AB514" s="63"/>
      <c r="AC514" s="62" t="str">
        <f t="shared" si="2"/>
        <v>Shock Fruit</v>
      </c>
    </row>
    <row r="515">
      <c r="U515" s="62" t="str">
        <f>IFERROR(__xludf.DUMMYFUNCTION("""COMPUTED_VALUE"""),"5 Electric Lizalfos Horn")</f>
        <v>5 Electric Lizalfos Horn</v>
      </c>
      <c r="V515" s="62">
        <f>IFERROR(__xludf.DUMMYFUNCTION("SPLIT(U515,"" "")"),5.0)</f>
        <v>5</v>
      </c>
      <c r="W515" s="62" t="str">
        <f>IFERROR(__xludf.DUMMYFUNCTION("""COMPUTED_VALUE"""),"Electric")</f>
        <v>Electric</v>
      </c>
      <c r="X515" s="62" t="str">
        <f>IFERROR(__xludf.DUMMYFUNCTION("""COMPUTED_VALUE"""),"Lizalfos")</f>
        <v>Lizalfos</v>
      </c>
      <c r="Y515" s="62" t="str">
        <f>IFERROR(__xludf.DUMMYFUNCTION("""COMPUTED_VALUE"""),"Horn")</f>
        <v>Horn</v>
      </c>
      <c r="Z515" s="62"/>
      <c r="AA515" s="62"/>
      <c r="AB515" s="63"/>
      <c r="AC515" s="62" t="str">
        <f t="shared" si="2"/>
        <v>Electric Lizalfos Horn</v>
      </c>
    </row>
    <row r="516">
      <c r="U516" s="62" t="str">
        <f>IFERROR(__xludf.DUMMYFUNCTION("""COMPUTED_VALUE"""),"3 Thunderwing Butterfly")</f>
        <v>3 Thunderwing Butterfly</v>
      </c>
      <c r="V516" s="62">
        <f>IFERROR(__xludf.DUMMYFUNCTION("SPLIT(U516,"" "")"),3.0)</f>
        <v>3</v>
      </c>
      <c r="W516" s="62" t="str">
        <f>IFERROR(__xludf.DUMMYFUNCTION("""COMPUTED_VALUE"""),"Thunderwing")</f>
        <v>Thunderwing</v>
      </c>
      <c r="X516" s="62" t="str">
        <f>IFERROR(__xludf.DUMMYFUNCTION("""COMPUTED_VALUE"""),"Butterfly")</f>
        <v>Butterfly</v>
      </c>
      <c r="Y516" s="62"/>
      <c r="Z516" s="62"/>
      <c r="AA516" s="62"/>
      <c r="AB516" s="63"/>
      <c r="AC516" s="62" t="str">
        <f t="shared" si="2"/>
        <v>Thunderwing Butterfly</v>
      </c>
    </row>
    <row r="517">
      <c r="U517" s="62" t="str">
        <f>IFERROR(__xludf.DUMMYFUNCTION("""COMPUTED_VALUE"""),"5 Shock Like Stone")</f>
        <v>5 Shock Like Stone</v>
      </c>
      <c r="V517" s="62">
        <f>IFERROR(__xludf.DUMMYFUNCTION("SPLIT(U517,"" "")"),5.0)</f>
        <v>5</v>
      </c>
      <c r="W517" s="62" t="str">
        <f>IFERROR(__xludf.DUMMYFUNCTION("""COMPUTED_VALUE"""),"Shock")</f>
        <v>Shock</v>
      </c>
      <c r="X517" s="62" t="str">
        <f>IFERROR(__xludf.DUMMYFUNCTION("""COMPUTED_VALUE"""),"Like")</f>
        <v>Like</v>
      </c>
      <c r="Y517" s="62" t="str">
        <f>IFERROR(__xludf.DUMMYFUNCTION("""COMPUTED_VALUE"""),"Stone")</f>
        <v>Stone</v>
      </c>
      <c r="Z517" s="62"/>
      <c r="AA517" s="62"/>
      <c r="AB517" s="63"/>
      <c r="AC517" s="62" t="str">
        <f t="shared" si="2"/>
        <v>Shock Like Stone</v>
      </c>
    </row>
    <row r="518">
      <c r="U518" s="62" t="str">
        <f>IFERROR(__xludf.DUMMYFUNCTION("""COMPUTED_VALUE"""),"5 Electric Darner")</f>
        <v>5 Electric Darner</v>
      </c>
      <c r="V518" s="62">
        <f>IFERROR(__xludf.DUMMYFUNCTION("SPLIT(U518,"" "")"),5.0)</f>
        <v>5</v>
      </c>
      <c r="W518" s="62" t="str">
        <f>IFERROR(__xludf.DUMMYFUNCTION("""COMPUTED_VALUE"""),"Electric")</f>
        <v>Electric</v>
      </c>
      <c r="X518" s="62" t="str">
        <f>IFERROR(__xludf.DUMMYFUNCTION("""COMPUTED_VALUE"""),"Darner")</f>
        <v>Darner</v>
      </c>
      <c r="Y518" s="62"/>
      <c r="Z518" s="62"/>
      <c r="AA518" s="62"/>
      <c r="AB518" s="63"/>
      <c r="AC518" s="62" t="str">
        <f t="shared" si="2"/>
        <v>Electric Darner</v>
      </c>
    </row>
    <row r="519">
      <c r="U519" s="62" t="str">
        <f>IFERROR(__xludf.DUMMYFUNCTION("""COMPUTED_VALUE"""),"3 Large Zonai Charge")</f>
        <v>3 Large Zonai Charge</v>
      </c>
      <c r="V519" s="62">
        <f>IFERROR(__xludf.DUMMYFUNCTION("SPLIT(U519,"" "")"),3.0)</f>
        <v>3</v>
      </c>
      <c r="W519" s="62" t="str">
        <f>IFERROR(__xludf.DUMMYFUNCTION("""COMPUTED_VALUE"""),"Large")</f>
        <v>Large</v>
      </c>
      <c r="X519" s="62" t="str">
        <f>IFERROR(__xludf.DUMMYFUNCTION("""COMPUTED_VALUE"""),"Zonai")</f>
        <v>Zonai</v>
      </c>
      <c r="Y519" s="62" t="str">
        <f>IFERROR(__xludf.DUMMYFUNCTION("""COMPUTED_VALUE"""),"Charge")</f>
        <v>Charge</v>
      </c>
      <c r="Z519" s="62"/>
      <c r="AA519" s="62"/>
      <c r="AB519" s="63"/>
      <c r="AC519" s="62" t="str">
        <f t="shared" si="2"/>
        <v>Large Zonai Charge</v>
      </c>
    </row>
    <row r="520">
      <c r="U520" s="62" t="str">
        <f>IFERROR(__xludf.DUMMYFUNCTION("""COMPUTED_VALUE"""),"5 Gleeok Thunder Horn")</f>
        <v>5 Gleeok Thunder Horn</v>
      </c>
      <c r="V520" s="62">
        <f>IFERROR(__xludf.DUMMYFUNCTION("SPLIT(U520,"" "")"),5.0)</f>
        <v>5</v>
      </c>
      <c r="W520" s="62" t="str">
        <f>IFERROR(__xludf.DUMMYFUNCTION("""COMPUTED_VALUE"""),"Gleeok")</f>
        <v>Gleeok</v>
      </c>
      <c r="X520" s="62" t="str">
        <f>IFERROR(__xludf.DUMMYFUNCTION("""COMPUTED_VALUE"""),"Thunder")</f>
        <v>Thunder</v>
      </c>
      <c r="Y520" s="62" t="str">
        <f>IFERROR(__xludf.DUMMYFUNCTION("""COMPUTED_VALUE"""),"Horn")</f>
        <v>Horn</v>
      </c>
      <c r="Z520" s="62"/>
      <c r="AA520" s="62"/>
      <c r="AB520" s="63"/>
      <c r="AC520" s="62" t="str">
        <f t="shared" si="2"/>
        <v>Gleeok Thunder Horn</v>
      </c>
    </row>
    <row r="521">
      <c r="U521" s="62" t="str">
        <f>IFERROR(__xludf.DUMMYFUNCTION("""COMPUTED_VALUE"""),"10 Voltfin Trout")</f>
        <v>10 Voltfin Trout</v>
      </c>
      <c r="V521" s="62">
        <f>IFERROR(__xludf.DUMMYFUNCTION("SPLIT(U521,"" "")"),10.0)</f>
        <v>10</v>
      </c>
      <c r="W521" s="62" t="str">
        <f>IFERROR(__xludf.DUMMYFUNCTION("""COMPUTED_VALUE"""),"Voltfin")</f>
        <v>Voltfin</v>
      </c>
      <c r="X521" s="62" t="str">
        <f>IFERROR(__xludf.DUMMYFUNCTION("""COMPUTED_VALUE"""),"Trout")</f>
        <v>Trout</v>
      </c>
      <c r="Y521" s="62"/>
      <c r="Z521" s="62"/>
      <c r="AA521" s="62"/>
      <c r="AB521" s="63"/>
      <c r="AC521" s="62" t="str">
        <f t="shared" si="2"/>
        <v>Voltfin Trout</v>
      </c>
    </row>
    <row r="522">
      <c r="U522" s="62" t="str">
        <f>IFERROR(__xludf.DUMMYFUNCTION("""COMPUTED_VALUE"""),"5 Large Zonai Charge")</f>
        <v>5 Large Zonai Charge</v>
      </c>
      <c r="V522" s="62">
        <f>IFERROR(__xludf.DUMMYFUNCTION("SPLIT(U522,"" "")"),5.0)</f>
        <v>5</v>
      </c>
      <c r="W522" s="62" t="str">
        <f>IFERROR(__xludf.DUMMYFUNCTION("""COMPUTED_VALUE"""),"Large")</f>
        <v>Large</v>
      </c>
      <c r="X522" s="62" t="str">
        <f>IFERROR(__xludf.DUMMYFUNCTION("""COMPUTED_VALUE"""),"Zonai")</f>
        <v>Zonai</v>
      </c>
      <c r="Y522" s="62" t="str">
        <f>IFERROR(__xludf.DUMMYFUNCTION("""COMPUTED_VALUE"""),"Charge")</f>
        <v>Charge</v>
      </c>
      <c r="Z522" s="62"/>
      <c r="AA522" s="62"/>
      <c r="AB522" s="63"/>
      <c r="AC522" s="62" t="str">
        <f t="shared" si="2"/>
        <v>Large Zonai Charge</v>
      </c>
    </row>
    <row r="523">
      <c r="U523" s="62" t="str">
        <f>IFERROR(__xludf.DUMMYFUNCTION("""COMPUTED_VALUE"""),"3 Ice Fruit")</f>
        <v>3 Ice Fruit</v>
      </c>
      <c r="V523" s="62">
        <f>IFERROR(__xludf.DUMMYFUNCTION("SPLIT(U523,"" "")"),3.0)</f>
        <v>3</v>
      </c>
      <c r="W523" s="62" t="str">
        <f>IFERROR(__xludf.DUMMYFUNCTION("""COMPUTED_VALUE"""),"Ice")</f>
        <v>Ice</v>
      </c>
      <c r="X523" s="62" t="str">
        <f>IFERROR(__xludf.DUMMYFUNCTION("""COMPUTED_VALUE"""),"Fruit")</f>
        <v>Fruit</v>
      </c>
      <c r="Y523" s="62"/>
      <c r="Z523" s="62"/>
      <c r="AA523" s="62"/>
      <c r="AB523" s="63"/>
      <c r="AC523" s="62" t="str">
        <f t="shared" si="2"/>
        <v>Ice Fruit</v>
      </c>
    </row>
    <row r="524">
      <c r="U524" s="62" t="str">
        <f>IFERROR(__xludf.DUMMYFUNCTION("""COMPUTED_VALUE"""),"5 Ice-Breath Lizalfos Horn")</f>
        <v>5 Ice-Breath Lizalfos Horn</v>
      </c>
      <c r="V524" s="62">
        <f>IFERROR(__xludf.DUMMYFUNCTION("SPLIT(U524,"" "")"),5.0)</f>
        <v>5</v>
      </c>
      <c r="W524" s="62" t="str">
        <f>IFERROR(__xludf.DUMMYFUNCTION("""COMPUTED_VALUE"""),"Ice-Breath")</f>
        <v>Ice-Breath</v>
      </c>
      <c r="X524" s="62" t="str">
        <f>IFERROR(__xludf.DUMMYFUNCTION("""COMPUTED_VALUE"""),"Lizalfos")</f>
        <v>Lizalfos</v>
      </c>
      <c r="Y524" s="62" t="str">
        <f>IFERROR(__xludf.DUMMYFUNCTION("""COMPUTED_VALUE"""),"Horn")</f>
        <v>Horn</v>
      </c>
      <c r="Z524" s="62"/>
      <c r="AA524" s="62"/>
      <c r="AB524" s="63"/>
      <c r="AC524" s="62" t="str">
        <f t="shared" si="2"/>
        <v>Ice-Breath Lizalfos Horn</v>
      </c>
    </row>
    <row r="525">
      <c r="U525" s="62" t="str">
        <f>IFERROR(__xludf.DUMMYFUNCTION("""COMPUTED_VALUE"""),"5 Winterwing Butterfly")</f>
        <v>5 Winterwing Butterfly</v>
      </c>
      <c r="V525" s="62">
        <f>IFERROR(__xludf.DUMMYFUNCTION("SPLIT(U525,"" "")"),5.0)</f>
        <v>5</v>
      </c>
      <c r="W525" s="62" t="str">
        <f>IFERROR(__xludf.DUMMYFUNCTION("""COMPUTED_VALUE"""),"Winterwing")</f>
        <v>Winterwing</v>
      </c>
      <c r="X525" s="62" t="str">
        <f>IFERROR(__xludf.DUMMYFUNCTION("""COMPUTED_VALUE"""),"Butterfly")</f>
        <v>Butterfly</v>
      </c>
      <c r="Y525" s="62"/>
      <c r="Z525" s="62"/>
      <c r="AA525" s="62"/>
      <c r="AB525" s="63"/>
      <c r="AC525" s="62" t="str">
        <f t="shared" si="2"/>
        <v>Winterwing Butterfly</v>
      </c>
    </row>
    <row r="526">
      <c r="U526" s="62" t="str">
        <f>IFERROR(__xludf.DUMMYFUNCTION("""COMPUTED_VALUE"""),"5 Ice Like Stone")</f>
        <v>5 Ice Like Stone</v>
      </c>
      <c r="V526" s="62">
        <f>IFERROR(__xludf.DUMMYFUNCTION("SPLIT(U526,"" "")"),5.0)</f>
        <v>5</v>
      </c>
      <c r="W526" s="62" t="str">
        <f>IFERROR(__xludf.DUMMYFUNCTION("""COMPUTED_VALUE"""),"Ice")</f>
        <v>Ice</v>
      </c>
      <c r="X526" s="62" t="str">
        <f>IFERROR(__xludf.DUMMYFUNCTION("""COMPUTED_VALUE"""),"Like")</f>
        <v>Like</v>
      </c>
      <c r="Y526" s="62" t="str">
        <f>IFERROR(__xludf.DUMMYFUNCTION("""COMPUTED_VALUE"""),"Stone")</f>
        <v>Stone</v>
      </c>
      <c r="Z526" s="62"/>
      <c r="AA526" s="62"/>
      <c r="AB526" s="63"/>
      <c r="AC526" s="62" t="str">
        <f t="shared" si="2"/>
        <v>Ice Like Stone</v>
      </c>
    </row>
    <row r="527">
      <c r="U527" s="62" t="str">
        <f>IFERROR(__xludf.DUMMYFUNCTION("""COMPUTED_VALUE"""),"5 Cold Darner")</f>
        <v>5 Cold Darner</v>
      </c>
      <c r="V527" s="62">
        <f>IFERROR(__xludf.DUMMYFUNCTION("SPLIT(U527,"" "")"),5.0)</f>
        <v>5</v>
      </c>
      <c r="W527" s="62" t="str">
        <f>IFERROR(__xludf.DUMMYFUNCTION("""COMPUTED_VALUE"""),"Cold")</f>
        <v>Cold</v>
      </c>
      <c r="X527" s="62" t="str">
        <f>IFERROR(__xludf.DUMMYFUNCTION("""COMPUTED_VALUE"""),"Darner")</f>
        <v>Darner</v>
      </c>
      <c r="Y527" s="62"/>
      <c r="Z527" s="62"/>
      <c r="AA527" s="62"/>
      <c r="AB527" s="63"/>
      <c r="AC527" s="62" t="str">
        <f t="shared" si="2"/>
        <v>Cold Darner</v>
      </c>
    </row>
    <row r="528">
      <c r="U528" s="62" t="str">
        <f>IFERROR(__xludf.DUMMYFUNCTION("""COMPUTED_VALUE"""),"5 Large Zonai Charge")</f>
        <v>5 Large Zonai Charge</v>
      </c>
      <c r="V528" s="62">
        <f>IFERROR(__xludf.DUMMYFUNCTION("SPLIT(U528,"" "")"),5.0)</f>
        <v>5</v>
      </c>
      <c r="W528" s="62" t="str">
        <f>IFERROR(__xludf.DUMMYFUNCTION("""COMPUTED_VALUE"""),"Large")</f>
        <v>Large</v>
      </c>
      <c r="X528" s="62" t="str">
        <f>IFERROR(__xludf.DUMMYFUNCTION("""COMPUTED_VALUE"""),"Zonai")</f>
        <v>Zonai</v>
      </c>
      <c r="Y528" s="62" t="str">
        <f>IFERROR(__xludf.DUMMYFUNCTION("""COMPUTED_VALUE"""),"Charge")</f>
        <v>Charge</v>
      </c>
      <c r="Z528" s="62"/>
      <c r="AA528" s="62"/>
      <c r="AB528" s="63"/>
      <c r="AC528" s="62" t="str">
        <f t="shared" si="2"/>
        <v>Large Zonai Charge</v>
      </c>
    </row>
    <row r="529">
      <c r="U529" s="62" t="str">
        <f>IFERROR(__xludf.DUMMYFUNCTION("""COMPUTED_VALUE"""),"5 Gleeok Frost Horn")</f>
        <v>5 Gleeok Frost Horn</v>
      </c>
      <c r="V529" s="62">
        <f>IFERROR(__xludf.DUMMYFUNCTION("SPLIT(U529,"" "")"),5.0)</f>
        <v>5</v>
      </c>
      <c r="W529" s="62" t="str">
        <f>IFERROR(__xludf.DUMMYFUNCTION("""COMPUTED_VALUE"""),"Gleeok")</f>
        <v>Gleeok</v>
      </c>
      <c r="X529" s="62" t="str">
        <f>IFERROR(__xludf.DUMMYFUNCTION("""COMPUTED_VALUE"""),"Frost")</f>
        <v>Frost</v>
      </c>
      <c r="Y529" s="62" t="str">
        <f>IFERROR(__xludf.DUMMYFUNCTION("""COMPUTED_VALUE"""),"Horn")</f>
        <v>Horn</v>
      </c>
      <c r="Z529" s="62"/>
      <c r="AA529" s="62"/>
      <c r="AB529" s="63"/>
      <c r="AC529" s="62" t="str">
        <f t="shared" si="2"/>
        <v>Gleeok Frost Horn</v>
      </c>
    </row>
    <row r="530">
      <c r="U530" s="62" t="str">
        <f>IFERROR(__xludf.DUMMYFUNCTION("""COMPUTED_VALUE"""),"10 Chillfin Trout")</f>
        <v>10 Chillfin Trout</v>
      </c>
      <c r="V530" s="62">
        <f>IFERROR(__xludf.DUMMYFUNCTION("SPLIT(U530,"" "")"),10.0)</f>
        <v>10</v>
      </c>
      <c r="W530" s="62" t="str">
        <f>IFERROR(__xludf.DUMMYFUNCTION("""COMPUTED_VALUE"""),"Chillfin")</f>
        <v>Chillfin</v>
      </c>
      <c r="X530" s="62" t="str">
        <f>IFERROR(__xludf.DUMMYFUNCTION("""COMPUTED_VALUE"""),"Trout")</f>
        <v>Trout</v>
      </c>
      <c r="Y530" s="62"/>
      <c r="Z530" s="62"/>
      <c r="AA530" s="62"/>
      <c r="AB530" s="63"/>
      <c r="AC530" s="62" t="str">
        <f t="shared" si="2"/>
        <v>Chillfin Trout</v>
      </c>
    </row>
    <row r="531">
      <c r="U531" s="62" t="str">
        <f>IFERROR(__xludf.DUMMYFUNCTION("""COMPUTED_VALUE"""),"10 Large Zonai Charge")</f>
        <v>10 Large Zonai Charge</v>
      </c>
      <c r="V531" s="62">
        <f>IFERROR(__xludf.DUMMYFUNCTION("SPLIT(U531,"" "")"),10.0)</f>
        <v>10</v>
      </c>
      <c r="W531" s="62" t="str">
        <f>IFERROR(__xludf.DUMMYFUNCTION("""COMPUTED_VALUE"""),"Large")</f>
        <v>Large</v>
      </c>
      <c r="X531" s="62" t="str">
        <f>IFERROR(__xludf.DUMMYFUNCTION("""COMPUTED_VALUE"""),"Zonai")</f>
        <v>Zonai</v>
      </c>
      <c r="Y531" s="62" t="str">
        <f>IFERROR(__xludf.DUMMYFUNCTION("""COMPUTED_VALUE"""),"Charge")</f>
        <v>Charge</v>
      </c>
      <c r="Z531" s="62"/>
      <c r="AA531" s="62"/>
      <c r="AB531" s="63"/>
      <c r="AC531" s="62" t="str">
        <f t="shared" si="2"/>
        <v>Large Zonai Charge</v>
      </c>
    </row>
    <row r="532">
      <c r="U532" s="62" t="str">
        <f>IFERROR(__xludf.DUMMYFUNCTION("""COMPUTED_VALUE"""),"3 Ice Fruit")</f>
        <v>3 Ice Fruit</v>
      </c>
      <c r="V532" s="62">
        <f>IFERROR(__xludf.DUMMYFUNCTION("SPLIT(U532,"" "")"),3.0)</f>
        <v>3</v>
      </c>
      <c r="W532" s="62" t="str">
        <f>IFERROR(__xludf.DUMMYFUNCTION("""COMPUTED_VALUE"""),"Ice")</f>
        <v>Ice</v>
      </c>
      <c r="X532" s="62" t="str">
        <f>IFERROR(__xludf.DUMMYFUNCTION("""COMPUTED_VALUE"""),"Fruit")</f>
        <v>Fruit</v>
      </c>
      <c r="Y532" s="62"/>
      <c r="Z532" s="62"/>
      <c r="AA532" s="62"/>
      <c r="AB532" s="63"/>
      <c r="AC532" s="62" t="str">
        <f t="shared" si="2"/>
        <v>Ice Fruit</v>
      </c>
    </row>
    <row r="533">
      <c r="U533" s="62" t="str">
        <f>IFERROR(__xludf.DUMMYFUNCTION("""COMPUTED_VALUE"""),"5 Ice-Breath Lizalfos Horn")</f>
        <v>5 Ice-Breath Lizalfos Horn</v>
      </c>
      <c r="V533" s="62">
        <f>IFERROR(__xludf.DUMMYFUNCTION("SPLIT(U533,"" "")"),5.0)</f>
        <v>5</v>
      </c>
      <c r="W533" s="62" t="str">
        <f>IFERROR(__xludf.DUMMYFUNCTION("""COMPUTED_VALUE"""),"Ice-Breath")</f>
        <v>Ice-Breath</v>
      </c>
      <c r="X533" s="62" t="str">
        <f>IFERROR(__xludf.DUMMYFUNCTION("""COMPUTED_VALUE"""),"Lizalfos")</f>
        <v>Lizalfos</v>
      </c>
      <c r="Y533" s="62" t="str">
        <f>IFERROR(__xludf.DUMMYFUNCTION("""COMPUTED_VALUE"""),"Horn")</f>
        <v>Horn</v>
      </c>
      <c r="Z533" s="62"/>
      <c r="AA533" s="62"/>
      <c r="AB533" s="63"/>
      <c r="AC533" s="62" t="str">
        <f t="shared" si="2"/>
        <v>Ice-Breath Lizalfos Horn</v>
      </c>
    </row>
    <row r="534">
      <c r="U534" s="62" t="str">
        <f>IFERROR(__xludf.DUMMYFUNCTION("""COMPUTED_VALUE"""),"5 Winterwing Butterfly")</f>
        <v>5 Winterwing Butterfly</v>
      </c>
      <c r="V534" s="62">
        <f>IFERROR(__xludf.DUMMYFUNCTION("SPLIT(U534,"" "")"),5.0)</f>
        <v>5</v>
      </c>
      <c r="W534" s="62" t="str">
        <f>IFERROR(__xludf.DUMMYFUNCTION("""COMPUTED_VALUE"""),"Winterwing")</f>
        <v>Winterwing</v>
      </c>
      <c r="X534" s="62" t="str">
        <f>IFERROR(__xludf.DUMMYFUNCTION("""COMPUTED_VALUE"""),"Butterfly")</f>
        <v>Butterfly</v>
      </c>
      <c r="Y534" s="62"/>
      <c r="Z534" s="62"/>
      <c r="AA534" s="62"/>
      <c r="AB534" s="63"/>
      <c r="AC534" s="62" t="str">
        <f t="shared" si="2"/>
        <v>Winterwing Butterfly</v>
      </c>
    </row>
    <row r="535">
      <c r="U535" s="62" t="str">
        <f>IFERROR(__xludf.DUMMYFUNCTION("""COMPUTED_VALUE"""),"5 Ice Like Stone")</f>
        <v>5 Ice Like Stone</v>
      </c>
      <c r="V535" s="62">
        <f>IFERROR(__xludf.DUMMYFUNCTION("SPLIT(U535,"" "")"),5.0)</f>
        <v>5</v>
      </c>
      <c r="W535" s="62" t="str">
        <f>IFERROR(__xludf.DUMMYFUNCTION("""COMPUTED_VALUE"""),"Ice")</f>
        <v>Ice</v>
      </c>
      <c r="X535" s="62" t="str">
        <f>IFERROR(__xludf.DUMMYFUNCTION("""COMPUTED_VALUE"""),"Like")</f>
        <v>Like</v>
      </c>
      <c r="Y535" s="62" t="str">
        <f>IFERROR(__xludf.DUMMYFUNCTION("""COMPUTED_VALUE"""),"Stone")</f>
        <v>Stone</v>
      </c>
      <c r="Z535" s="62"/>
      <c r="AA535" s="62"/>
      <c r="AB535" s="63"/>
      <c r="AC535" s="62" t="str">
        <f t="shared" si="2"/>
        <v>Ice Like Stone</v>
      </c>
    </row>
    <row r="536">
      <c r="U536" s="62" t="str">
        <f>IFERROR(__xludf.DUMMYFUNCTION("""COMPUTED_VALUE"""),"5 Cold Darner")</f>
        <v>5 Cold Darner</v>
      </c>
      <c r="V536" s="62">
        <f>IFERROR(__xludf.DUMMYFUNCTION("SPLIT(U536,"" "")"),5.0)</f>
        <v>5</v>
      </c>
      <c r="W536" s="62" t="str">
        <f>IFERROR(__xludf.DUMMYFUNCTION("""COMPUTED_VALUE"""),"Cold")</f>
        <v>Cold</v>
      </c>
      <c r="X536" s="62" t="str">
        <f>IFERROR(__xludf.DUMMYFUNCTION("""COMPUTED_VALUE"""),"Darner")</f>
        <v>Darner</v>
      </c>
      <c r="Y536" s="62"/>
      <c r="Z536" s="62"/>
      <c r="AA536" s="62"/>
      <c r="AB536" s="63"/>
      <c r="AC536" s="62" t="str">
        <f t="shared" si="2"/>
        <v>Cold Darner</v>
      </c>
    </row>
    <row r="537">
      <c r="U537" s="62" t="str">
        <f>IFERROR(__xludf.DUMMYFUNCTION("""COMPUTED_VALUE"""),"5 Large Zonai Charge")</f>
        <v>5 Large Zonai Charge</v>
      </c>
      <c r="V537" s="62">
        <f>IFERROR(__xludf.DUMMYFUNCTION("SPLIT(U537,"" "")"),5.0)</f>
        <v>5</v>
      </c>
      <c r="W537" s="62" t="str">
        <f>IFERROR(__xludf.DUMMYFUNCTION("""COMPUTED_VALUE"""),"Large")</f>
        <v>Large</v>
      </c>
      <c r="X537" s="62" t="str">
        <f>IFERROR(__xludf.DUMMYFUNCTION("""COMPUTED_VALUE"""),"Zonai")</f>
        <v>Zonai</v>
      </c>
      <c r="Y537" s="62" t="str">
        <f>IFERROR(__xludf.DUMMYFUNCTION("""COMPUTED_VALUE"""),"Charge")</f>
        <v>Charge</v>
      </c>
      <c r="Z537" s="62"/>
      <c r="AA537" s="62"/>
      <c r="AB537" s="63"/>
      <c r="AC537" s="62" t="str">
        <f t="shared" si="2"/>
        <v>Large Zonai Charge</v>
      </c>
    </row>
    <row r="538">
      <c r="U538" s="62" t="str">
        <f>IFERROR(__xludf.DUMMYFUNCTION("""COMPUTED_VALUE"""),"5 Gleeok Frost Horn")</f>
        <v>5 Gleeok Frost Horn</v>
      </c>
      <c r="V538" s="62">
        <f>IFERROR(__xludf.DUMMYFUNCTION("SPLIT(U538,"" "")"),5.0)</f>
        <v>5</v>
      </c>
      <c r="W538" s="62" t="str">
        <f>IFERROR(__xludf.DUMMYFUNCTION("""COMPUTED_VALUE"""),"Gleeok")</f>
        <v>Gleeok</v>
      </c>
      <c r="X538" s="62" t="str">
        <f>IFERROR(__xludf.DUMMYFUNCTION("""COMPUTED_VALUE"""),"Frost")</f>
        <v>Frost</v>
      </c>
      <c r="Y538" s="62" t="str">
        <f>IFERROR(__xludf.DUMMYFUNCTION("""COMPUTED_VALUE"""),"Horn")</f>
        <v>Horn</v>
      </c>
      <c r="Z538" s="62"/>
      <c r="AA538" s="62"/>
      <c r="AB538" s="63"/>
      <c r="AC538" s="62" t="str">
        <f t="shared" si="2"/>
        <v>Gleeok Frost Horn</v>
      </c>
    </row>
    <row r="539">
      <c r="U539" s="62" t="str">
        <f>IFERROR(__xludf.DUMMYFUNCTION("""COMPUTED_VALUE"""),"10 Chillfin Trout")</f>
        <v>10 Chillfin Trout</v>
      </c>
      <c r="V539" s="62">
        <f>IFERROR(__xludf.DUMMYFUNCTION("SPLIT(U539,"" "")"),10.0)</f>
        <v>10</v>
      </c>
      <c r="W539" s="62" t="str">
        <f>IFERROR(__xludf.DUMMYFUNCTION("""COMPUTED_VALUE"""),"Chillfin")</f>
        <v>Chillfin</v>
      </c>
      <c r="X539" s="62" t="str">
        <f>IFERROR(__xludf.DUMMYFUNCTION("""COMPUTED_VALUE"""),"Trout")</f>
        <v>Trout</v>
      </c>
      <c r="Y539" s="62"/>
      <c r="Z539" s="62"/>
      <c r="AA539" s="62"/>
      <c r="AB539" s="63"/>
      <c r="AC539" s="62" t="str">
        <f t="shared" si="2"/>
        <v>Chillfin Trout</v>
      </c>
    </row>
    <row r="540">
      <c r="U540" s="62" t="str">
        <f>IFERROR(__xludf.DUMMYFUNCTION("""COMPUTED_VALUE"""),"10 Large Zonai Charge")</f>
        <v>10 Large Zonai Charge</v>
      </c>
      <c r="V540" s="62">
        <f>IFERROR(__xludf.DUMMYFUNCTION("SPLIT(U540,"" "")"),10.0)</f>
        <v>10</v>
      </c>
      <c r="W540" s="62" t="str">
        <f>IFERROR(__xludf.DUMMYFUNCTION("""COMPUTED_VALUE"""),"Large")</f>
        <v>Large</v>
      </c>
      <c r="X540" s="62" t="str">
        <f>IFERROR(__xludf.DUMMYFUNCTION("""COMPUTED_VALUE"""),"Zonai")</f>
        <v>Zonai</v>
      </c>
      <c r="Y540" s="62" t="str">
        <f>IFERROR(__xludf.DUMMYFUNCTION("""COMPUTED_VALUE"""),"Charge")</f>
        <v>Charge</v>
      </c>
      <c r="Z540" s="62"/>
      <c r="AA540" s="62"/>
      <c r="AB540" s="63"/>
      <c r="AC540" s="62" t="str">
        <f t="shared" si="2"/>
        <v>Large Zonai Charge</v>
      </c>
    </row>
    <row r="541">
      <c r="U541" s="62" t="str">
        <f>IFERROR(__xludf.DUMMYFUNCTION("""COMPUTED_VALUE"""),"3 Ice Fruit")</f>
        <v>3 Ice Fruit</v>
      </c>
      <c r="V541" s="62">
        <f>IFERROR(__xludf.DUMMYFUNCTION("SPLIT(U541,"" "")"),3.0)</f>
        <v>3</v>
      </c>
      <c r="W541" s="62" t="str">
        <f>IFERROR(__xludf.DUMMYFUNCTION("""COMPUTED_VALUE"""),"Ice")</f>
        <v>Ice</v>
      </c>
      <c r="X541" s="62" t="str">
        <f>IFERROR(__xludf.DUMMYFUNCTION("""COMPUTED_VALUE"""),"Fruit")</f>
        <v>Fruit</v>
      </c>
      <c r="Y541" s="62"/>
      <c r="Z541" s="62"/>
      <c r="AA541" s="62"/>
      <c r="AB541" s="63"/>
      <c r="AC541" s="62" t="str">
        <f t="shared" si="2"/>
        <v>Ice Fruit</v>
      </c>
    </row>
    <row r="542">
      <c r="U542" s="62" t="str">
        <f>IFERROR(__xludf.DUMMYFUNCTION("""COMPUTED_VALUE"""),"5 Ice-Breath Lizalfos Horn")</f>
        <v>5 Ice-Breath Lizalfos Horn</v>
      </c>
      <c r="V542" s="62">
        <f>IFERROR(__xludf.DUMMYFUNCTION("SPLIT(U542,"" "")"),5.0)</f>
        <v>5</v>
      </c>
      <c r="W542" s="62" t="str">
        <f>IFERROR(__xludf.DUMMYFUNCTION("""COMPUTED_VALUE"""),"Ice-Breath")</f>
        <v>Ice-Breath</v>
      </c>
      <c r="X542" s="62" t="str">
        <f>IFERROR(__xludf.DUMMYFUNCTION("""COMPUTED_VALUE"""),"Lizalfos")</f>
        <v>Lizalfos</v>
      </c>
      <c r="Y542" s="62" t="str">
        <f>IFERROR(__xludf.DUMMYFUNCTION("""COMPUTED_VALUE"""),"Horn")</f>
        <v>Horn</v>
      </c>
      <c r="Z542" s="62"/>
      <c r="AA542" s="62"/>
      <c r="AB542" s="63"/>
      <c r="AC542" s="62" t="str">
        <f t="shared" si="2"/>
        <v>Ice-Breath Lizalfos Horn</v>
      </c>
    </row>
    <row r="543">
      <c r="U543" s="62" t="str">
        <f>IFERROR(__xludf.DUMMYFUNCTION("""COMPUTED_VALUE"""),"5 Winterwing Butterfly")</f>
        <v>5 Winterwing Butterfly</v>
      </c>
      <c r="V543" s="62">
        <f>IFERROR(__xludf.DUMMYFUNCTION("SPLIT(U543,"" "")"),5.0)</f>
        <v>5</v>
      </c>
      <c r="W543" s="62" t="str">
        <f>IFERROR(__xludf.DUMMYFUNCTION("""COMPUTED_VALUE"""),"Winterwing")</f>
        <v>Winterwing</v>
      </c>
      <c r="X543" s="62" t="str">
        <f>IFERROR(__xludf.DUMMYFUNCTION("""COMPUTED_VALUE"""),"Butterfly")</f>
        <v>Butterfly</v>
      </c>
      <c r="Y543" s="62"/>
      <c r="Z543" s="62"/>
      <c r="AA543" s="62"/>
      <c r="AB543" s="63"/>
      <c r="AC543" s="62" t="str">
        <f t="shared" si="2"/>
        <v>Winterwing Butterfly</v>
      </c>
    </row>
    <row r="544">
      <c r="U544" s="62" t="str">
        <f>IFERROR(__xludf.DUMMYFUNCTION("""COMPUTED_VALUE"""),"5 Ice Like Stone")</f>
        <v>5 Ice Like Stone</v>
      </c>
      <c r="V544" s="62">
        <f>IFERROR(__xludf.DUMMYFUNCTION("SPLIT(U544,"" "")"),5.0)</f>
        <v>5</v>
      </c>
      <c r="W544" s="62" t="str">
        <f>IFERROR(__xludf.DUMMYFUNCTION("""COMPUTED_VALUE"""),"Ice")</f>
        <v>Ice</v>
      </c>
      <c r="X544" s="62" t="str">
        <f>IFERROR(__xludf.DUMMYFUNCTION("""COMPUTED_VALUE"""),"Like")</f>
        <v>Like</v>
      </c>
      <c r="Y544" s="62" t="str">
        <f>IFERROR(__xludf.DUMMYFUNCTION("""COMPUTED_VALUE"""),"Stone")</f>
        <v>Stone</v>
      </c>
      <c r="Z544" s="62"/>
      <c r="AA544" s="62"/>
      <c r="AB544" s="63"/>
      <c r="AC544" s="62" t="str">
        <f t="shared" si="2"/>
        <v>Ice Like Stone</v>
      </c>
    </row>
    <row r="545">
      <c r="U545" s="62" t="str">
        <f>IFERROR(__xludf.DUMMYFUNCTION("""COMPUTED_VALUE"""),"5 Cold Darner")</f>
        <v>5 Cold Darner</v>
      </c>
      <c r="V545" s="62">
        <f>IFERROR(__xludf.DUMMYFUNCTION("SPLIT(U545,"" "")"),5.0)</f>
        <v>5</v>
      </c>
      <c r="W545" s="62" t="str">
        <f>IFERROR(__xludf.DUMMYFUNCTION("""COMPUTED_VALUE"""),"Cold")</f>
        <v>Cold</v>
      </c>
      <c r="X545" s="62" t="str">
        <f>IFERROR(__xludf.DUMMYFUNCTION("""COMPUTED_VALUE"""),"Darner")</f>
        <v>Darner</v>
      </c>
      <c r="Y545" s="62"/>
      <c r="Z545" s="62"/>
      <c r="AA545" s="62"/>
      <c r="AB545" s="63"/>
      <c r="AC545" s="62" t="str">
        <f t="shared" si="2"/>
        <v>Cold Darner</v>
      </c>
    </row>
    <row r="546">
      <c r="U546" s="62" t="str">
        <f>IFERROR(__xludf.DUMMYFUNCTION("""COMPUTED_VALUE"""),"5 Large Zonai Charge")</f>
        <v>5 Large Zonai Charge</v>
      </c>
      <c r="V546" s="62">
        <f>IFERROR(__xludf.DUMMYFUNCTION("SPLIT(U546,"" "")"),5.0)</f>
        <v>5</v>
      </c>
      <c r="W546" s="62" t="str">
        <f>IFERROR(__xludf.DUMMYFUNCTION("""COMPUTED_VALUE"""),"Large")</f>
        <v>Large</v>
      </c>
      <c r="X546" s="62" t="str">
        <f>IFERROR(__xludf.DUMMYFUNCTION("""COMPUTED_VALUE"""),"Zonai")</f>
        <v>Zonai</v>
      </c>
      <c r="Y546" s="62" t="str">
        <f>IFERROR(__xludf.DUMMYFUNCTION("""COMPUTED_VALUE"""),"Charge")</f>
        <v>Charge</v>
      </c>
      <c r="Z546" s="62"/>
      <c r="AA546" s="62"/>
      <c r="AB546" s="63"/>
      <c r="AC546" s="62" t="str">
        <f t="shared" si="2"/>
        <v>Large Zonai Charge</v>
      </c>
    </row>
    <row r="547">
      <c r="U547" s="62" t="str">
        <f>IFERROR(__xludf.DUMMYFUNCTION("""COMPUTED_VALUE"""),"5 Gleeok Frost Horn")</f>
        <v>5 Gleeok Frost Horn</v>
      </c>
      <c r="V547" s="62">
        <f>IFERROR(__xludf.DUMMYFUNCTION("SPLIT(U547,"" "")"),5.0)</f>
        <v>5</v>
      </c>
      <c r="W547" s="62" t="str">
        <f>IFERROR(__xludf.DUMMYFUNCTION("""COMPUTED_VALUE"""),"Gleeok")</f>
        <v>Gleeok</v>
      </c>
      <c r="X547" s="62" t="str">
        <f>IFERROR(__xludf.DUMMYFUNCTION("""COMPUTED_VALUE"""),"Frost")</f>
        <v>Frost</v>
      </c>
      <c r="Y547" s="62" t="str">
        <f>IFERROR(__xludf.DUMMYFUNCTION("""COMPUTED_VALUE"""),"Horn")</f>
        <v>Horn</v>
      </c>
      <c r="Z547" s="62"/>
      <c r="AA547" s="62"/>
      <c r="AB547" s="63"/>
      <c r="AC547" s="62" t="str">
        <f t="shared" si="2"/>
        <v>Gleeok Frost Horn</v>
      </c>
    </row>
    <row r="548">
      <c r="U548" s="62" t="str">
        <f>IFERROR(__xludf.DUMMYFUNCTION("""COMPUTED_VALUE"""),"10 Chillfin Trout")</f>
        <v>10 Chillfin Trout</v>
      </c>
      <c r="V548" s="62">
        <f>IFERROR(__xludf.DUMMYFUNCTION("SPLIT(U548,"" "")"),10.0)</f>
        <v>10</v>
      </c>
      <c r="W548" s="62" t="str">
        <f>IFERROR(__xludf.DUMMYFUNCTION("""COMPUTED_VALUE"""),"Chillfin")</f>
        <v>Chillfin</v>
      </c>
      <c r="X548" s="62" t="str">
        <f>IFERROR(__xludf.DUMMYFUNCTION("""COMPUTED_VALUE"""),"Trout")</f>
        <v>Trout</v>
      </c>
      <c r="Y548" s="62"/>
      <c r="Z548" s="62"/>
      <c r="AA548" s="62"/>
      <c r="AB548" s="63"/>
      <c r="AC548" s="62" t="str">
        <f t="shared" si="2"/>
        <v>Chillfin Trout</v>
      </c>
    </row>
    <row r="549">
      <c r="U549" s="62" t="str">
        <f>IFERROR(__xludf.DUMMYFUNCTION("""COMPUTED_VALUE"""),"10 Large Zonai Charge")</f>
        <v>10 Large Zonai Charge</v>
      </c>
      <c r="V549" s="62">
        <f>IFERROR(__xludf.DUMMYFUNCTION("SPLIT(U549,"" "")"),10.0)</f>
        <v>10</v>
      </c>
      <c r="W549" s="62" t="str">
        <f>IFERROR(__xludf.DUMMYFUNCTION("""COMPUTED_VALUE"""),"Large")</f>
        <v>Large</v>
      </c>
      <c r="X549" s="62" t="str">
        <f>IFERROR(__xludf.DUMMYFUNCTION("""COMPUTED_VALUE"""),"Zonai")</f>
        <v>Zonai</v>
      </c>
      <c r="Y549" s="62" t="str">
        <f>IFERROR(__xludf.DUMMYFUNCTION("""COMPUTED_VALUE"""),"Charge")</f>
        <v>Charge</v>
      </c>
      <c r="Z549" s="62"/>
      <c r="AA549" s="62"/>
      <c r="AB549" s="63"/>
      <c r="AC549" s="62" t="str">
        <f t="shared" si="2"/>
        <v>Large Zonai Charge</v>
      </c>
    </row>
    <row r="550">
      <c r="U550" s="62" t="str">
        <f>IFERROR(__xludf.DUMMYFUNCTION("""COMPUTED_VALUE"""),"2 Octorok Eyeball")</f>
        <v>2 Octorok Eyeball</v>
      </c>
      <c r="V550" s="62">
        <f>IFERROR(__xludf.DUMMYFUNCTION("SPLIT(U550,"" "")"),2.0)</f>
        <v>2</v>
      </c>
      <c r="W550" s="62" t="str">
        <f>IFERROR(__xludf.DUMMYFUNCTION("""COMPUTED_VALUE"""),"Octorok")</f>
        <v>Octorok</v>
      </c>
      <c r="X550" s="62" t="str">
        <f>IFERROR(__xludf.DUMMYFUNCTION("""COMPUTED_VALUE"""),"Eyeball")</f>
        <v>Eyeball</v>
      </c>
      <c r="Y550" s="62"/>
      <c r="Z550" s="62"/>
      <c r="AA550" s="62"/>
      <c r="AB550" s="63"/>
      <c r="AC550" s="62" t="str">
        <f t="shared" si="2"/>
        <v>Octorok Eyeball</v>
      </c>
    </row>
    <row r="551">
      <c r="U551" s="62" t="str">
        <f>IFERROR(__xludf.DUMMYFUNCTION("""COMPUTED_VALUE"""),"3 Fire-Breath Lizalfos Tail")</f>
        <v>3 Fire-Breath Lizalfos Tail</v>
      </c>
      <c r="V551" s="62">
        <f>IFERROR(__xludf.DUMMYFUNCTION("SPLIT(U551,"" "")"),3.0)</f>
        <v>3</v>
      </c>
      <c r="W551" s="62" t="str">
        <f>IFERROR(__xludf.DUMMYFUNCTION("""COMPUTED_VALUE"""),"Fire-Breath")</f>
        <v>Fire-Breath</v>
      </c>
      <c r="X551" s="62" t="str">
        <f>IFERROR(__xludf.DUMMYFUNCTION("""COMPUTED_VALUE"""),"Lizalfos")</f>
        <v>Lizalfos</v>
      </c>
      <c r="Y551" s="62" t="str">
        <f>IFERROR(__xludf.DUMMYFUNCTION("""COMPUTED_VALUE"""),"Tail")</f>
        <v>Tail</v>
      </c>
      <c r="Z551" s="62"/>
      <c r="AA551" s="62"/>
      <c r="AB551" s="63"/>
      <c r="AC551" s="62" t="str">
        <f t="shared" si="2"/>
        <v>Fire-Breath Lizalfos Tail</v>
      </c>
    </row>
    <row r="552">
      <c r="U552" s="62" t="str">
        <f>IFERROR(__xludf.DUMMYFUNCTION("""COMPUTED_VALUE"""),"3 Puffshroom")</f>
        <v>3 Puffshroom</v>
      </c>
      <c r="V552" s="62">
        <f>IFERROR(__xludf.DUMMYFUNCTION("SPLIT(U552,"" "")"),3.0)</f>
        <v>3</v>
      </c>
      <c r="W552" s="62" t="str">
        <f>IFERROR(__xludf.DUMMYFUNCTION("""COMPUTED_VALUE"""),"Puffshroom")</f>
        <v>Puffshroom</v>
      </c>
      <c r="X552" s="62"/>
      <c r="Y552" s="62"/>
      <c r="Z552" s="62"/>
      <c r="AA552" s="62"/>
      <c r="AB552" s="63"/>
      <c r="AC552" s="62" t="str">
        <f t="shared" si="2"/>
        <v>Puffshroom</v>
      </c>
    </row>
    <row r="553">
      <c r="U553" s="62" t="str">
        <f>IFERROR(__xludf.DUMMYFUNCTION("""COMPUTED_VALUE"""),"5 Ice-Breath Lizalfos Tail")</f>
        <v>5 Ice-Breath Lizalfos Tail</v>
      </c>
      <c r="V553" s="62">
        <f>IFERROR(__xludf.DUMMYFUNCTION("SPLIT(U553,"" "")"),5.0)</f>
        <v>5</v>
      </c>
      <c r="W553" s="62" t="str">
        <f>IFERROR(__xludf.DUMMYFUNCTION("""COMPUTED_VALUE"""),"Ice-Breath")</f>
        <v>Ice-Breath</v>
      </c>
      <c r="X553" s="62" t="str">
        <f>IFERROR(__xludf.DUMMYFUNCTION("""COMPUTED_VALUE"""),"Lizalfos")</f>
        <v>Lizalfos</v>
      </c>
      <c r="Y553" s="62" t="str">
        <f>IFERROR(__xludf.DUMMYFUNCTION("""COMPUTED_VALUE"""),"Tail")</f>
        <v>Tail</v>
      </c>
      <c r="Z553" s="62"/>
      <c r="AA553" s="62"/>
      <c r="AB553" s="63"/>
      <c r="AC553" s="62" t="str">
        <f t="shared" si="2"/>
        <v>Ice-Breath Lizalfos Tail</v>
      </c>
    </row>
    <row r="554">
      <c r="U554" s="62" t="str">
        <f>IFERROR(__xludf.DUMMYFUNCTION("""COMPUTED_VALUE"""),"5 Keese Eyeball")</f>
        <v>5 Keese Eyeball</v>
      </c>
      <c r="V554" s="62">
        <f>IFERROR(__xludf.DUMMYFUNCTION("SPLIT(U554,"" "")"),5.0)</f>
        <v>5</v>
      </c>
      <c r="W554" s="62" t="str">
        <f>IFERROR(__xludf.DUMMYFUNCTION("""COMPUTED_VALUE"""),"Keese")</f>
        <v>Keese</v>
      </c>
      <c r="X554" s="62" t="str">
        <f>IFERROR(__xludf.DUMMYFUNCTION("""COMPUTED_VALUE"""),"Eyeball")</f>
        <v>Eyeball</v>
      </c>
      <c r="Y554" s="62"/>
      <c r="Z554" s="62"/>
      <c r="AA554" s="62"/>
      <c r="AB554" s="63"/>
      <c r="AC554" s="62" t="str">
        <f t="shared" si="2"/>
        <v>Keese Eyeball</v>
      </c>
    </row>
    <row r="555">
      <c r="U555" s="62" t="str">
        <f>IFERROR(__xludf.DUMMYFUNCTION("""COMPUTED_VALUE"""),"5 Electric Lizalfos Tail")</f>
        <v>5 Electric Lizalfos Tail</v>
      </c>
      <c r="V555" s="62">
        <f>IFERROR(__xludf.DUMMYFUNCTION("SPLIT(U555,"" "")"),5.0)</f>
        <v>5</v>
      </c>
      <c r="W555" s="62" t="str">
        <f>IFERROR(__xludf.DUMMYFUNCTION("""COMPUTED_VALUE"""),"Electric")</f>
        <v>Electric</v>
      </c>
      <c r="X555" s="62" t="str">
        <f>IFERROR(__xludf.DUMMYFUNCTION("""COMPUTED_VALUE"""),"Lizalfos")</f>
        <v>Lizalfos</v>
      </c>
      <c r="Y555" s="62" t="str">
        <f>IFERROR(__xludf.DUMMYFUNCTION("""COMPUTED_VALUE"""),"Tail")</f>
        <v>Tail</v>
      </c>
      <c r="Z555" s="62"/>
      <c r="AA555" s="62"/>
      <c r="AB555" s="63"/>
      <c r="AC555" s="62" t="str">
        <f t="shared" si="2"/>
        <v>Electric Lizalfos Tail</v>
      </c>
    </row>
    <row r="556">
      <c r="U556" s="62" t="str">
        <f>IFERROR(__xludf.DUMMYFUNCTION("""COMPUTED_VALUE"""),"3 Black Hinox Horn")</f>
        <v>3 Black Hinox Horn</v>
      </c>
      <c r="V556" s="62">
        <f>IFERROR(__xludf.DUMMYFUNCTION("SPLIT(U556,"" "")"),3.0)</f>
        <v>3</v>
      </c>
      <c r="W556" s="62" t="str">
        <f>IFERROR(__xludf.DUMMYFUNCTION("""COMPUTED_VALUE"""),"Black")</f>
        <v>Black</v>
      </c>
      <c r="X556" s="62" t="str">
        <f>IFERROR(__xludf.DUMMYFUNCTION("""COMPUTED_VALUE"""),"Hinox")</f>
        <v>Hinox</v>
      </c>
      <c r="Y556" s="62" t="str">
        <f>IFERROR(__xludf.DUMMYFUNCTION("""COMPUTED_VALUE"""),"Horn")</f>
        <v>Horn</v>
      </c>
      <c r="Z556" s="62"/>
      <c r="AA556" s="62"/>
      <c r="AB556" s="63"/>
      <c r="AC556" s="62" t="str">
        <f t="shared" si="2"/>
        <v>Black Hinox Horn</v>
      </c>
    </row>
    <row r="557">
      <c r="U557" s="62" t="str">
        <f>IFERROR(__xludf.DUMMYFUNCTION("""COMPUTED_VALUE"""),"10 Mighty Bananas")</f>
        <v>10 Mighty Bananas</v>
      </c>
      <c r="V557" s="62">
        <f>IFERROR(__xludf.DUMMYFUNCTION("SPLIT(U557,"" "")"),10.0)</f>
        <v>10</v>
      </c>
      <c r="W557" s="62" t="str">
        <f>IFERROR(__xludf.DUMMYFUNCTION("""COMPUTED_VALUE"""),"Mighty")</f>
        <v>Mighty</v>
      </c>
      <c r="X557" s="62" t="str">
        <f>IFERROR(__xludf.DUMMYFUNCTION("""COMPUTED_VALUE"""),"Bananas")</f>
        <v>Bananas</v>
      </c>
      <c r="Y557" s="62"/>
      <c r="Z557" s="62"/>
      <c r="AA557" s="62"/>
      <c r="AB557" s="63"/>
      <c r="AC557" s="62" t="str">
        <f t="shared" si="2"/>
        <v>Mighty Bananas</v>
      </c>
    </row>
    <row r="558">
      <c r="U558" s="62" t="str">
        <f>IFERROR(__xludf.DUMMYFUNCTION("""COMPUTED_VALUE"""),"2 Octorok Eyeball")</f>
        <v>2 Octorok Eyeball</v>
      </c>
      <c r="V558" s="62">
        <f>IFERROR(__xludf.DUMMYFUNCTION("SPLIT(U558,"" "")"),2.0)</f>
        <v>2</v>
      </c>
      <c r="W558" s="62" t="str">
        <f>IFERROR(__xludf.DUMMYFUNCTION("""COMPUTED_VALUE"""),"Octorok")</f>
        <v>Octorok</v>
      </c>
      <c r="X558" s="62" t="str">
        <f>IFERROR(__xludf.DUMMYFUNCTION("""COMPUTED_VALUE"""),"Eyeball")</f>
        <v>Eyeball</v>
      </c>
      <c r="Y558" s="62"/>
      <c r="Z558" s="62"/>
      <c r="AA558" s="62"/>
      <c r="AB558" s="63"/>
      <c r="AC558" s="62" t="str">
        <f t="shared" si="2"/>
        <v>Octorok Eyeball</v>
      </c>
    </row>
    <row r="559">
      <c r="U559" s="62" t="str">
        <f>IFERROR(__xludf.DUMMYFUNCTION("""COMPUTED_VALUE"""),"3 Fire-Breath Lizalfos Tail")</f>
        <v>3 Fire-Breath Lizalfos Tail</v>
      </c>
      <c r="V559" s="62">
        <f>IFERROR(__xludf.DUMMYFUNCTION("SPLIT(U559,"" "")"),3.0)</f>
        <v>3</v>
      </c>
      <c r="W559" s="62" t="str">
        <f>IFERROR(__xludf.DUMMYFUNCTION("""COMPUTED_VALUE"""),"Fire-Breath")</f>
        <v>Fire-Breath</v>
      </c>
      <c r="X559" s="62" t="str">
        <f>IFERROR(__xludf.DUMMYFUNCTION("""COMPUTED_VALUE"""),"Lizalfos")</f>
        <v>Lizalfos</v>
      </c>
      <c r="Y559" s="62" t="str">
        <f>IFERROR(__xludf.DUMMYFUNCTION("""COMPUTED_VALUE"""),"Tail")</f>
        <v>Tail</v>
      </c>
      <c r="Z559" s="62"/>
      <c r="AA559" s="62"/>
      <c r="AB559" s="63"/>
      <c r="AC559" s="62" t="str">
        <f t="shared" si="2"/>
        <v>Fire-Breath Lizalfos Tail</v>
      </c>
    </row>
    <row r="560">
      <c r="U560" s="62" t="str">
        <f>IFERROR(__xludf.DUMMYFUNCTION("""COMPUTED_VALUE"""),"3 Puffshroom")</f>
        <v>3 Puffshroom</v>
      </c>
      <c r="V560" s="62">
        <f>IFERROR(__xludf.DUMMYFUNCTION("SPLIT(U560,"" "")"),3.0)</f>
        <v>3</v>
      </c>
      <c r="W560" s="62" t="str">
        <f>IFERROR(__xludf.DUMMYFUNCTION("""COMPUTED_VALUE"""),"Puffshroom")</f>
        <v>Puffshroom</v>
      </c>
      <c r="X560" s="62"/>
      <c r="Y560" s="62"/>
      <c r="Z560" s="62"/>
      <c r="AA560" s="62"/>
      <c r="AB560" s="63"/>
      <c r="AC560" s="62" t="str">
        <f t="shared" si="2"/>
        <v>Puffshroom</v>
      </c>
    </row>
    <row r="561">
      <c r="U561" s="62" t="str">
        <f>IFERROR(__xludf.DUMMYFUNCTION("""COMPUTED_VALUE"""),"5 Ice-Breath Lizalfos Tail")</f>
        <v>5 Ice-Breath Lizalfos Tail</v>
      </c>
      <c r="V561" s="62">
        <f>IFERROR(__xludf.DUMMYFUNCTION("SPLIT(U561,"" "")"),5.0)</f>
        <v>5</v>
      </c>
      <c r="W561" s="62" t="str">
        <f>IFERROR(__xludf.DUMMYFUNCTION("""COMPUTED_VALUE"""),"Ice-Breath")</f>
        <v>Ice-Breath</v>
      </c>
      <c r="X561" s="62" t="str">
        <f>IFERROR(__xludf.DUMMYFUNCTION("""COMPUTED_VALUE"""),"Lizalfos")</f>
        <v>Lizalfos</v>
      </c>
      <c r="Y561" s="62" t="str">
        <f>IFERROR(__xludf.DUMMYFUNCTION("""COMPUTED_VALUE"""),"Tail")</f>
        <v>Tail</v>
      </c>
      <c r="Z561" s="62"/>
      <c r="AA561" s="62"/>
      <c r="AB561" s="63"/>
      <c r="AC561" s="62" t="str">
        <f t="shared" si="2"/>
        <v>Ice-Breath Lizalfos Tail</v>
      </c>
    </row>
    <row r="562">
      <c r="U562" s="62" t="str">
        <f>IFERROR(__xludf.DUMMYFUNCTION("""COMPUTED_VALUE"""),"5 Keese Eyeball")</f>
        <v>5 Keese Eyeball</v>
      </c>
      <c r="V562" s="62">
        <f>IFERROR(__xludf.DUMMYFUNCTION("SPLIT(U562,"" "")"),5.0)</f>
        <v>5</v>
      </c>
      <c r="W562" s="62" t="str">
        <f>IFERROR(__xludf.DUMMYFUNCTION("""COMPUTED_VALUE"""),"Keese")</f>
        <v>Keese</v>
      </c>
      <c r="X562" s="62" t="str">
        <f>IFERROR(__xludf.DUMMYFUNCTION("""COMPUTED_VALUE"""),"Eyeball")</f>
        <v>Eyeball</v>
      </c>
      <c r="Y562" s="62"/>
      <c r="Z562" s="62"/>
      <c r="AA562" s="62"/>
      <c r="AB562" s="63"/>
      <c r="AC562" s="62" t="str">
        <f t="shared" si="2"/>
        <v>Keese Eyeball</v>
      </c>
    </row>
    <row r="563">
      <c r="U563" s="62" t="str">
        <f>IFERROR(__xludf.DUMMYFUNCTION("""COMPUTED_VALUE"""),"5 Electric Lizalfos Tail")</f>
        <v>5 Electric Lizalfos Tail</v>
      </c>
      <c r="V563" s="62">
        <f>IFERROR(__xludf.DUMMYFUNCTION("SPLIT(U563,"" "")"),5.0)</f>
        <v>5</v>
      </c>
      <c r="W563" s="62" t="str">
        <f>IFERROR(__xludf.DUMMYFUNCTION("""COMPUTED_VALUE"""),"Electric")</f>
        <v>Electric</v>
      </c>
      <c r="X563" s="62" t="str">
        <f>IFERROR(__xludf.DUMMYFUNCTION("""COMPUTED_VALUE"""),"Lizalfos")</f>
        <v>Lizalfos</v>
      </c>
      <c r="Y563" s="62" t="str">
        <f>IFERROR(__xludf.DUMMYFUNCTION("""COMPUTED_VALUE"""),"Tail")</f>
        <v>Tail</v>
      </c>
      <c r="Z563" s="62"/>
      <c r="AA563" s="62"/>
      <c r="AB563" s="63"/>
      <c r="AC563" s="62" t="str">
        <f t="shared" si="2"/>
        <v>Electric Lizalfos Tail</v>
      </c>
    </row>
    <row r="564">
      <c r="U564" s="62" t="str">
        <f>IFERROR(__xludf.DUMMYFUNCTION("""COMPUTED_VALUE"""),"3 Black Hinox Horn")</f>
        <v>3 Black Hinox Horn</v>
      </c>
      <c r="V564" s="62">
        <f>IFERROR(__xludf.DUMMYFUNCTION("SPLIT(U564,"" "")"),3.0)</f>
        <v>3</v>
      </c>
      <c r="W564" s="62" t="str">
        <f>IFERROR(__xludf.DUMMYFUNCTION("""COMPUTED_VALUE"""),"Black")</f>
        <v>Black</v>
      </c>
      <c r="X564" s="62" t="str">
        <f>IFERROR(__xludf.DUMMYFUNCTION("""COMPUTED_VALUE"""),"Hinox")</f>
        <v>Hinox</v>
      </c>
      <c r="Y564" s="62" t="str">
        <f>IFERROR(__xludf.DUMMYFUNCTION("""COMPUTED_VALUE"""),"Horn")</f>
        <v>Horn</v>
      </c>
      <c r="Z564" s="62"/>
      <c r="AA564" s="62"/>
      <c r="AB564" s="63"/>
      <c r="AC564" s="62" t="str">
        <f t="shared" si="2"/>
        <v>Black Hinox Horn</v>
      </c>
    </row>
    <row r="565">
      <c r="U565" s="62" t="str">
        <f>IFERROR(__xludf.DUMMYFUNCTION("""COMPUTED_VALUE"""),"10 Mighty Bananas")</f>
        <v>10 Mighty Bananas</v>
      </c>
      <c r="V565" s="62">
        <f>IFERROR(__xludf.DUMMYFUNCTION("SPLIT(U565,"" "")"),10.0)</f>
        <v>10</v>
      </c>
      <c r="W565" s="62" t="str">
        <f>IFERROR(__xludf.DUMMYFUNCTION("""COMPUTED_VALUE"""),"Mighty")</f>
        <v>Mighty</v>
      </c>
      <c r="X565" s="62" t="str">
        <f>IFERROR(__xludf.DUMMYFUNCTION("""COMPUTED_VALUE"""),"Bananas")</f>
        <v>Bananas</v>
      </c>
      <c r="Y565" s="62"/>
      <c r="Z565" s="62"/>
      <c r="AA565" s="62"/>
      <c r="AB565" s="63"/>
      <c r="AC565" s="62" t="str">
        <f t="shared" si="2"/>
        <v>Mighty Bananas</v>
      </c>
    </row>
    <row r="566">
      <c r="U566" s="62" t="str">
        <f>IFERROR(__xludf.DUMMYFUNCTION("""COMPUTED_VALUE"""),"2 Octorok Eyeball")</f>
        <v>2 Octorok Eyeball</v>
      </c>
      <c r="V566" s="62">
        <f>IFERROR(__xludf.DUMMYFUNCTION("SPLIT(U566,"" "")"),2.0)</f>
        <v>2</v>
      </c>
      <c r="W566" s="62" t="str">
        <f>IFERROR(__xludf.DUMMYFUNCTION("""COMPUTED_VALUE"""),"Octorok")</f>
        <v>Octorok</v>
      </c>
      <c r="X566" s="62" t="str">
        <f>IFERROR(__xludf.DUMMYFUNCTION("""COMPUTED_VALUE"""),"Eyeball")</f>
        <v>Eyeball</v>
      </c>
      <c r="Y566" s="62"/>
      <c r="Z566" s="62"/>
      <c r="AA566" s="62"/>
      <c r="AB566" s="63"/>
      <c r="AC566" s="62" t="str">
        <f t="shared" si="2"/>
        <v>Octorok Eyeball</v>
      </c>
    </row>
    <row r="567">
      <c r="U567" s="62" t="str">
        <f>IFERROR(__xludf.DUMMYFUNCTION("""COMPUTED_VALUE"""),"3 Fire-Breath Lizalfos Tail")</f>
        <v>3 Fire-Breath Lizalfos Tail</v>
      </c>
      <c r="V567" s="62">
        <f>IFERROR(__xludf.DUMMYFUNCTION("SPLIT(U567,"" "")"),3.0)</f>
        <v>3</v>
      </c>
      <c r="W567" s="62" t="str">
        <f>IFERROR(__xludf.DUMMYFUNCTION("""COMPUTED_VALUE"""),"Fire-Breath")</f>
        <v>Fire-Breath</v>
      </c>
      <c r="X567" s="62" t="str">
        <f>IFERROR(__xludf.DUMMYFUNCTION("""COMPUTED_VALUE"""),"Lizalfos")</f>
        <v>Lizalfos</v>
      </c>
      <c r="Y567" s="62" t="str">
        <f>IFERROR(__xludf.DUMMYFUNCTION("""COMPUTED_VALUE"""),"Tail")</f>
        <v>Tail</v>
      </c>
      <c r="Z567" s="62"/>
      <c r="AA567" s="62"/>
      <c r="AB567" s="63"/>
      <c r="AC567" s="62" t="str">
        <f t="shared" si="2"/>
        <v>Fire-Breath Lizalfos Tail</v>
      </c>
    </row>
    <row r="568">
      <c r="U568" s="62" t="str">
        <f>IFERROR(__xludf.DUMMYFUNCTION("""COMPUTED_VALUE"""),"3 Puffshroom")</f>
        <v>3 Puffshroom</v>
      </c>
      <c r="V568" s="62">
        <f>IFERROR(__xludf.DUMMYFUNCTION("SPLIT(U568,"" "")"),3.0)</f>
        <v>3</v>
      </c>
      <c r="W568" s="62" t="str">
        <f>IFERROR(__xludf.DUMMYFUNCTION("""COMPUTED_VALUE"""),"Puffshroom")</f>
        <v>Puffshroom</v>
      </c>
      <c r="X568" s="62"/>
      <c r="Y568" s="62"/>
      <c r="Z568" s="62"/>
      <c r="AA568" s="62"/>
      <c r="AB568" s="63"/>
      <c r="AC568" s="62" t="str">
        <f t="shared" si="2"/>
        <v>Puffshroom</v>
      </c>
    </row>
    <row r="569">
      <c r="U569" s="62" t="str">
        <f>IFERROR(__xludf.DUMMYFUNCTION("""COMPUTED_VALUE"""),"5 Ice-Breath Lizalfos Tail")</f>
        <v>5 Ice-Breath Lizalfos Tail</v>
      </c>
      <c r="V569" s="62">
        <f>IFERROR(__xludf.DUMMYFUNCTION("SPLIT(U569,"" "")"),5.0)</f>
        <v>5</v>
      </c>
      <c r="W569" s="62" t="str">
        <f>IFERROR(__xludf.DUMMYFUNCTION("""COMPUTED_VALUE"""),"Ice-Breath")</f>
        <v>Ice-Breath</v>
      </c>
      <c r="X569" s="62" t="str">
        <f>IFERROR(__xludf.DUMMYFUNCTION("""COMPUTED_VALUE"""),"Lizalfos")</f>
        <v>Lizalfos</v>
      </c>
      <c r="Y569" s="62" t="str">
        <f>IFERROR(__xludf.DUMMYFUNCTION("""COMPUTED_VALUE"""),"Tail")</f>
        <v>Tail</v>
      </c>
      <c r="Z569" s="62"/>
      <c r="AA569" s="62"/>
      <c r="AB569" s="63"/>
      <c r="AC569" s="62" t="str">
        <f t="shared" si="2"/>
        <v>Ice-Breath Lizalfos Tail</v>
      </c>
    </row>
    <row r="570">
      <c r="U570" s="62" t="str">
        <f>IFERROR(__xludf.DUMMYFUNCTION("""COMPUTED_VALUE"""),"5 Keese Eyeball")</f>
        <v>5 Keese Eyeball</v>
      </c>
      <c r="V570" s="62">
        <f>IFERROR(__xludf.DUMMYFUNCTION("SPLIT(U570,"" "")"),5.0)</f>
        <v>5</v>
      </c>
      <c r="W570" s="62" t="str">
        <f>IFERROR(__xludf.DUMMYFUNCTION("""COMPUTED_VALUE"""),"Keese")</f>
        <v>Keese</v>
      </c>
      <c r="X570" s="62" t="str">
        <f>IFERROR(__xludf.DUMMYFUNCTION("""COMPUTED_VALUE"""),"Eyeball")</f>
        <v>Eyeball</v>
      </c>
      <c r="Y570" s="62"/>
      <c r="Z570" s="62"/>
      <c r="AA570" s="62"/>
      <c r="AB570" s="63"/>
      <c r="AC570" s="62" t="str">
        <f t="shared" si="2"/>
        <v>Keese Eyeball</v>
      </c>
    </row>
    <row r="571">
      <c r="U571" s="62" t="str">
        <f>IFERROR(__xludf.DUMMYFUNCTION("""COMPUTED_VALUE"""),"5 Electric Lizalfos Tail")</f>
        <v>5 Electric Lizalfos Tail</v>
      </c>
      <c r="V571" s="62">
        <f>IFERROR(__xludf.DUMMYFUNCTION("SPLIT(U571,"" "")"),5.0)</f>
        <v>5</v>
      </c>
      <c r="W571" s="62" t="str">
        <f>IFERROR(__xludf.DUMMYFUNCTION("""COMPUTED_VALUE"""),"Electric")</f>
        <v>Electric</v>
      </c>
      <c r="X571" s="62" t="str">
        <f>IFERROR(__xludf.DUMMYFUNCTION("""COMPUTED_VALUE"""),"Lizalfos")</f>
        <v>Lizalfos</v>
      </c>
      <c r="Y571" s="62" t="str">
        <f>IFERROR(__xludf.DUMMYFUNCTION("""COMPUTED_VALUE"""),"Tail")</f>
        <v>Tail</v>
      </c>
      <c r="Z571" s="62"/>
      <c r="AA571" s="62"/>
      <c r="AB571" s="63"/>
      <c r="AC571" s="62" t="str">
        <f t="shared" si="2"/>
        <v>Electric Lizalfos Tail</v>
      </c>
    </row>
    <row r="572">
      <c r="U572" s="62" t="str">
        <f>IFERROR(__xludf.DUMMYFUNCTION("""COMPUTED_VALUE"""),"3 Black Hinox Horn")</f>
        <v>3 Black Hinox Horn</v>
      </c>
      <c r="V572" s="62">
        <f>IFERROR(__xludf.DUMMYFUNCTION("SPLIT(U572,"" "")"),3.0)</f>
        <v>3</v>
      </c>
      <c r="W572" s="62" t="str">
        <f>IFERROR(__xludf.DUMMYFUNCTION("""COMPUTED_VALUE"""),"Black")</f>
        <v>Black</v>
      </c>
      <c r="X572" s="62" t="str">
        <f>IFERROR(__xludf.DUMMYFUNCTION("""COMPUTED_VALUE"""),"Hinox")</f>
        <v>Hinox</v>
      </c>
      <c r="Y572" s="62" t="str">
        <f>IFERROR(__xludf.DUMMYFUNCTION("""COMPUTED_VALUE"""),"Horn")</f>
        <v>Horn</v>
      </c>
      <c r="Z572" s="62"/>
      <c r="AA572" s="62"/>
      <c r="AB572" s="63"/>
      <c r="AC572" s="62" t="str">
        <f t="shared" si="2"/>
        <v>Black Hinox Horn</v>
      </c>
    </row>
    <row r="573">
      <c r="U573" s="62" t="str">
        <f>IFERROR(__xludf.DUMMYFUNCTION("""COMPUTED_VALUE"""),"10 Mighty Bananas")</f>
        <v>10 Mighty Bananas</v>
      </c>
      <c r="V573" s="62">
        <f>IFERROR(__xludf.DUMMYFUNCTION("SPLIT(U573,"" "")"),10.0)</f>
        <v>10</v>
      </c>
      <c r="W573" s="62" t="str">
        <f>IFERROR(__xludf.DUMMYFUNCTION("""COMPUTED_VALUE"""),"Mighty")</f>
        <v>Mighty</v>
      </c>
      <c r="X573" s="62" t="str">
        <f>IFERROR(__xludf.DUMMYFUNCTION("""COMPUTED_VALUE"""),"Bananas")</f>
        <v>Bananas</v>
      </c>
      <c r="Y573" s="62"/>
      <c r="Z573" s="62"/>
      <c r="AA573" s="62"/>
      <c r="AB573" s="63"/>
      <c r="AC573" s="62" t="str">
        <f t="shared" si="2"/>
        <v>Mighty Bananas</v>
      </c>
    </row>
    <row r="574">
      <c r="U574" s="62" t="str">
        <f>IFERROR(__xludf.DUMMYFUNCTION("""COMPUTED_VALUE"""),"1 Ruby")</f>
        <v>1 Ruby</v>
      </c>
      <c r="V574" s="62">
        <f>IFERROR(__xludf.DUMMYFUNCTION("SPLIT(U574,"" "")"),1.0)</f>
        <v>1</v>
      </c>
      <c r="W574" s="62" t="str">
        <f>IFERROR(__xludf.DUMMYFUNCTION("""COMPUTED_VALUE"""),"Ruby")</f>
        <v>Ruby</v>
      </c>
      <c r="X574" s="62"/>
      <c r="Y574" s="62"/>
      <c r="Z574" s="62"/>
      <c r="AA574" s="62"/>
      <c r="AB574" s="63"/>
      <c r="AC574" s="62" t="str">
        <f t="shared" si="2"/>
        <v>Ruby</v>
      </c>
    </row>
    <row r="575">
      <c r="U575" s="62" t="str">
        <f>IFERROR(__xludf.DUMMYFUNCTION("""COMPUTED_VALUE"""),"5 Zonaite")</f>
        <v>5 Zonaite</v>
      </c>
      <c r="V575" s="62">
        <f>IFERROR(__xludf.DUMMYFUNCTION("SPLIT(U575,"" "")"),5.0)</f>
        <v>5</v>
      </c>
      <c r="W575" s="62" t="str">
        <f>IFERROR(__xludf.DUMMYFUNCTION("""COMPUTED_VALUE"""),"Zonaite")</f>
        <v>Zonaite</v>
      </c>
      <c r="X575" s="62"/>
      <c r="Y575" s="62"/>
      <c r="Z575" s="62"/>
      <c r="AA575" s="62"/>
      <c r="AB575" s="63"/>
      <c r="AC575" s="62" t="str">
        <f t="shared" si="2"/>
        <v>Zonaite</v>
      </c>
    </row>
    <row r="576">
      <c r="U576" s="62" t="str">
        <f>IFERROR(__xludf.DUMMYFUNCTION("""COMPUTED_VALUE"""),"4 Ruby")</f>
        <v>4 Ruby</v>
      </c>
      <c r="V576" s="62">
        <f>IFERROR(__xludf.DUMMYFUNCTION("SPLIT(U576,"" "")"),4.0)</f>
        <v>4</v>
      </c>
      <c r="W576" s="62" t="str">
        <f>IFERROR(__xludf.DUMMYFUNCTION("""COMPUTED_VALUE"""),"Ruby")</f>
        <v>Ruby</v>
      </c>
      <c r="X576" s="62"/>
      <c r="Y576" s="62"/>
      <c r="Z576" s="62"/>
      <c r="AA576" s="62"/>
      <c r="AB576" s="63"/>
      <c r="AC576" s="62" t="str">
        <f t="shared" si="2"/>
        <v>Ruby</v>
      </c>
    </row>
    <row r="577">
      <c r="U577" s="62" t="str">
        <f>IFERROR(__xludf.DUMMYFUNCTION("""COMPUTED_VALUE"""),"10 Zonaite")</f>
        <v>10 Zonaite</v>
      </c>
      <c r="V577" s="62">
        <f>IFERROR(__xludf.DUMMYFUNCTION("SPLIT(U577,"" "")"),10.0)</f>
        <v>10</v>
      </c>
      <c r="W577" s="62" t="str">
        <f>IFERROR(__xludf.DUMMYFUNCTION("""COMPUTED_VALUE"""),"Zonaite")</f>
        <v>Zonaite</v>
      </c>
      <c r="X577" s="62"/>
      <c r="Y577" s="62"/>
      <c r="Z577" s="62"/>
      <c r="AA577" s="62"/>
      <c r="AB577" s="63"/>
      <c r="AC577" s="62" t="str">
        <f t="shared" si="2"/>
        <v>Zonaite</v>
      </c>
    </row>
    <row r="578">
      <c r="U578" s="62" t="str">
        <f>IFERROR(__xludf.DUMMYFUNCTION("""COMPUTED_VALUE"""),"6 Ruby")</f>
        <v>6 Ruby</v>
      </c>
      <c r="V578" s="62">
        <f>IFERROR(__xludf.DUMMYFUNCTION("SPLIT(U578,"" "")"),6.0)</f>
        <v>6</v>
      </c>
      <c r="W578" s="62" t="str">
        <f>IFERROR(__xludf.DUMMYFUNCTION("""COMPUTED_VALUE"""),"Ruby")</f>
        <v>Ruby</v>
      </c>
      <c r="X578" s="62"/>
      <c r="Y578" s="62"/>
      <c r="Z578" s="62"/>
      <c r="AA578" s="62"/>
      <c r="AB578" s="63"/>
      <c r="AC578" s="62" t="str">
        <f t="shared" si="2"/>
        <v>Ruby</v>
      </c>
    </row>
    <row r="579">
      <c r="U579" s="62" t="str">
        <f>IFERROR(__xludf.DUMMYFUNCTION("""COMPUTED_VALUE"""),"5 Large Zonaite")</f>
        <v>5 Large Zonaite</v>
      </c>
      <c r="V579" s="62">
        <f>IFERROR(__xludf.DUMMYFUNCTION("SPLIT(U579,"" "")"),5.0)</f>
        <v>5</v>
      </c>
      <c r="W579" s="62" t="str">
        <f>IFERROR(__xludf.DUMMYFUNCTION("""COMPUTED_VALUE"""),"Large")</f>
        <v>Large</v>
      </c>
      <c r="X579" s="62" t="str">
        <f>IFERROR(__xludf.DUMMYFUNCTION("""COMPUTED_VALUE"""),"Zonaite")</f>
        <v>Zonaite</v>
      </c>
      <c r="Y579" s="62"/>
      <c r="Z579" s="62"/>
      <c r="AA579" s="62"/>
      <c r="AB579" s="63"/>
      <c r="AC579" s="62" t="str">
        <f t="shared" si="2"/>
        <v>Large Zonaite</v>
      </c>
    </row>
    <row r="580">
      <c r="U580" s="62" t="str">
        <f>IFERROR(__xludf.DUMMYFUNCTION("""COMPUTED_VALUE"""),"5 Dazzlefruit")</f>
        <v>5 Dazzlefruit</v>
      </c>
      <c r="V580" s="62">
        <f>IFERROR(__xludf.DUMMYFUNCTION("SPLIT(U580,"" "")"),5.0)</f>
        <v>5</v>
      </c>
      <c r="W580" s="62" t="str">
        <f>IFERROR(__xludf.DUMMYFUNCTION("""COMPUTED_VALUE"""),"Dazzlefruit")</f>
        <v>Dazzlefruit</v>
      </c>
      <c r="X580" s="62"/>
      <c r="Y580" s="62"/>
      <c r="Z580" s="62"/>
      <c r="AA580" s="62"/>
      <c r="AB580" s="63"/>
      <c r="AC580" s="62" t="str">
        <f t="shared" si="2"/>
        <v>Dazzlefruit</v>
      </c>
    </row>
    <row r="581">
      <c r="U581" s="62" t="str">
        <f>IFERROR(__xludf.DUMMYFUNCTION("""COMPUTED_VALUE"""),"10 Ruby")</f>
        <v>10 Ruby</v>
      </c>
      <c r="V581" s="62">
        <f>IFERROR(__xludf.DUMMYFUNCTION("SPLIT(U581,"" "")"),10.0)</f>
        <v>10</v>
      </c>
      <c r="W581" s="62" t="str">
        <f>IFERROR(__xludf.DUMMYFUNCTION("""COMPUTED_VALUE"""),"Ruby")</f>
        <v>Ruby</v>
      </c>
      <c r="X581" s="62"/>
      <c r="Y581" s="62"/>
      <c r="Z581" s="62"/>
      <c r="AA581" s="62"/>
      <c r="AB581" s="63"/>
      <c r="AC581" s="62" t="str">
        <f t="shared" si="2"/>
        <v>Ruby</v>
      </c>
    </row>
    <row r="582">
      <c r="U582" s="62" t="str">
        <f>IFERROR(__xludf.DUMMYFUNCTION("""COMPUTED_VALUE"""),"10 Large Zonaite")</f>
        <v>10 Large Zonaite</v>
      </c>
      <c r="V582" s="62">
        <f>IFERROR(__xludf.DUMMYFUNCTION("SPLIT(U582,"" "")"),10.0)</f>
        <v>10</v>
      </c>
      <c r="W582" s="62" t="str">
        <f>IFERROR(__xludf.DUMMYFUNCTION("""COMPUTED_VALUE"""),"Large")</f>
        <v>Large</v>
      </c>
      <c r="X582" s="62" t="str">
        <f>IFERROR(__xludf.DUMMYFUNCTION("""COMPUTED_VALUE"""),"Zonaite")</f>
        <v>Zonaite</v>
      </c>
      <c r="Y582" s="62"/>
      <c r="Z582" s="62"/>
      <c r="AA582" s="62"/>
      <c r="AB582" s="63"/>
      <c r="AC582" s="62" t="str">
        <f t="shared" si="2"/>
        <v>Large Zonaite</v>
      </c>
    </row>
    <row r="583">
      <c r="U583" s="62" t="str">
        <f>IFERROR(__xludf.DUMMYFUNCTION("""COMPUTED_VALUE"""),"10 Dazzlefruit")</f>
        <v>10 Dazzlefruit</v>
      </c>
      <c r="V583" s="62">
        <f>IFERROR(__xludf.DUMMYFUNCTION("SPLIT(U583,"" "")"),10.0)</f>
        <v>10</v>
      </c>
      <c r="W583" s="62" t="str">
        <f>IFERROR(__xludf.DUMMYFUNCTION("""COMPUTED_VALUE"""),"Dazzlefruit")</f>
        <v>Dazzlefruit</v>
      </c>
      <c r="X583" s="62"/>
      <c r="Y583" s="62"/>
      <c r="Z583" s="62"/>
      <c r="AA583" s="62"/>
      <c r="AB583" s="63"/>
      <c r="AC583" s="62" t="str">
        <f t="shared" si="2"/>
        <v>Dazzlefruit</v>
      </c>
    </row>
    <row r="584">
      <c r="U584" s="62" t="str">
        <f>IFERROR(__xludf.DUMMYFUNCTION("""COMPUTED_VALUE"""),"1 Sapphire")</f>
        <v>1 Sapphire</v>
      </c>
      <c r="V584" s="62">
        <f>IFERROR(__xludf.DUMMYFUNCTION("SPLIT(U584,"" "")"),1.0)</f>
        <v>1</v>
      </c>
      <c r="W584" s="62" t="str">
        <f>IFERROR(__xludf.DUMMYFUNCTION("""COMPUTED_VALUE"""),"Sapphire")</f>
        <v>Sapphire</v>
      </c>
      <c r="X584" s="62"/>
      <c r="Y584" s="62"/>
      <c r="Z584" s="62"/>
      <c r="AA584" s="62"/>
      <c r="AB584" s="63"/>
      <c r="AC584" s="62" t="str">
        <f t="shared" si="2"/>
        <v>Sapphire</v>
      </c>
    </row>
    <row r="585">
      <c r="U585" s="62" t="str">
        <f>IFERROR(__xludf.DUMMYFUNCTION("""COMPUTED_VALUE"""),"5 Zonaite")</f>
        <v>5 Zonaite</v>
      </c>
      <c r="V585" s="62">
        <f>IFERROR(__xludf.DUMMYFUNCTION("SPLIT(U585,"" "")"),5.0)</f>
        <v>5</v>
      </c>
      <c r="W585" s="62" t="str">
        <f>IFERROR(__xludf.DUMMYFUNCTION("""COMPUTED_VALUE"""),"Zonaite")</f>
        <v>Zonaite</v>
      </c>
      <c r="X585" s="62"/>
      <c r="Y585" s="62"/>
      <c r="Z585" s="62"/>
      <c r="AA585" s="62"/>
      <c r="AB585" s="63"/>
      <c r="AC585" s="62" t="str">
        <f t="shared" si="2"/>
        <v>Zonaite</v>
      </c>
    </row>
    <row r="586">
      <c r="U586" s="62" t="str">
        <f>IFERROR(__xludf.DUMMYFUNCTION("""COMPUTED_VALUE"""),"4 Sapphire")</f>
        <v>4 Sapphire</v>
      </c>
      <c r="V586" s="62">
        <f>IFERROR(__xludf.DUMMYFUNCTION("SPLIT(U586,"" "")"),4.0)</f>
        <v>4</v>
      </c>
      <c r="W586" s="62" t="str">
        <f>IFERROR(__xludf.DUMMYFUNCTION("""COMPUTED_VALUE"""),"Sapphire")</f>
        <v>Sapphire</v>
      </c>
      <c r="X586" s="62"/>
      <c r="Y586" s="62"/>
      <c r="Z586" s="62"/>
      <c r="AA586" s="62"/>
      <c r="AB586" s="63"/>
      <c r="AC586" s="62" t="str">
        <f t="shared" si="2"/>
        <v>Sapphire</v>
      </c>
    </row>
    <row r="587">
      <c r="U587" s="62" t="str">
        <f>IFERROR(__xludf.DUMMYFUNCTION("""COMPUTED_VALUE"""),"10 Zonaite")</f>
        <v>10 Zonaite</v>
      </c>
      <c r="V587" s="62">
        <f>IFERROR(__xludf.DUMMYFUNCTION("SPLIT(U587,"" "")"),10.0)</f>
        <v>10</v>
      </c>
      <c r="W587" s="62" t="str">
        <f>IFERROR(__xludf.DUMMYFUNCTION("""COMPUTED_VALUE"""),"Zonaite")</f>
        <v>Zonaite</v>
      </c>
      <c r="X587" s="62"/>
      <c r="Y587" s="62"/>
      <c r="Z587" s="62"/>
      <c r="AA587" s="62"/>
      <c r="AB587" s="63"/>
      <c r="AC587" s="62" t="str">
        <f t="shared" si="2"/>
        <v>Zonaite</v>
      </c>
    </row>
    <row r="588">
      <c r="U588" s="62" t="str">
        <f>IFERROR(__xludf.DUMMYFUNCTION("""COMPUTED_VALUE"""),"6 Sapphire")</f>
        <v>6 Sapphire</v>
      </c>
      <c r="V588" s="62">
        <f>IFERROR(__xludf.DUMMYFUNCTION("SPLIT(U588,"" "")"),6.0)</f>
        <v>6</v>
      </c>
      <c r="W588" s="62" t="str">
        <f>IFERROR(__xludf.DUMMYFUNCTION("""COMPUTED_VALUE"""),"Sapphire")</f>
        <v>Sapphire</v>
      </c>
      <c r="X588" s="62"/>
      <c r="Y588" s="62"/>
      <c r="Z588" s="62"/>
      <c r="AA588" s="62"/>
      <c r="AB588" s="63"/>
      <c r="AC588" s="62" t="str">
        <f t="shared" si="2"/>
        <v>Sapphire</v>
      </c>
    </row>
    <row r="589">
      <c r="U589" s="62" t="str">
        <f>IFERROR(__xludf.DUMMYFUNCTION("""COMPUTED_VALUE"""),"5 Large Zonaite")</f>
        <v>5 Large Zonaite</v>
      </c>
      <c r="V589" s="62">
        <f>IFERROR(__xludf.DUMMYFUNCTION("SPLIT(U589,"" "")"),5.0)</f>
        <v>5</v>
      </c>
      <c r="W589" s="62" t="str">
        <f>IFERROR(__xludf.DUMMYFUNCTION("""COMPUTED_VALUE"""),"Large")</f>
        <v>Large</v>
      </c>
      <c r="X589" s="62" t="str">
        <f>IFERROR(__xludf.DUMMYFUNCTION("""COMPUTED_VALUE"""),"Zonaite")</f>
        <v>Zonaite</v>
      </c>
      <c r="Y589" s="62"/>
      <c r="Z589" s="62"/>
      <c r="AA589" s="62"/>
      <c r="AB589" s="63"/>
      <c r="AC589" s="62" t="str">
        <f t="shared" si="2"/>
        <v>Large Zonaite</v>
      </c>
    </row>
    <row r="590">
      <c r="U590" s="62" t="str">
        <f>IFERROR(__xludf.DUMMYFUNCTION("""COMPUTED_VALUE"""),"5 Dazzlefruit")</f>
        <v>5 Dazzlefruit</v>
      </c>
      <c r="V590" s="62">
        <f>IFERROR(__xludf.DUMMYFUNCTION("SPLIT(U590,"" "")"),5.0)</f>
        <v>5</v>
      </c>
      <c r="W590" s="62" t="str">
        <f>IFERROR(__xludf.DUMMYFUNCTION("""COMPUTED_VALUE"""),"Dazzlefruit")</f>
        <v>Dazzlefruit</v>
      </c>
      <c r="X590" s="62"/>
      <c r="Y590" s="62"/>
      <c r="Z590" s="62"/>
      <c r="AA590" s="62"/>
      <c r="AB590" s="63"/>
      <c r="AC590" s="62" t="str">
        <f t="shared" si="2"/>
        <v>Dazzlefruit</v>
      </c>
    </row>
    <row r="591">
      <c r="U591" s="62" t="str">
        <f>IFERROR(__xludf.DUMMYFUNCTION("""COMPUTED_VALUE"""),"10 Sapphire")</f>
        <v>10 Sapphire</v>
      </c>
      <c r="V591" s="62">
        <f>IFERROR(__xludf.DUMMYFUNCTION("SPLIT(U591,"" "")"),10.0)</f>
        <v>10</v>
      </c>
      <c r="W591" s="62" t="str">
        <f>IFERROR(__xludf.DUMMYFUNCTION("""COMPUTED_VALUE"""),"Sapphire")</f>
        <v>Sapphire</v>
      </c>
      <c r="X591" s="62"/>
      <c r="Y591" s="62"/>
      <c r="Z591" s="62"/>
      <c r="AA591" s="62"/>
      <c r="AB591" s="63"/>
      <c r="AC591" s="62" t="str">
        <f t="shared" si="2"/>
        <v>Sapphire</v>
      </c>
    </row>
    <row r="592">
      <c r="U592" s="62" t="str">
        <f>IFERROR(__xludf.DUMMYFUNCTION("""COMPUTED_VALUE"""),"10 Large Zonaite")</f>
        <v>10 Large Zonaite</v>
      </c>
      <c r="V592" s="62">
        <f>IFERROR(__xludf.DUMMYFUNCTION("SPLIT(U592,"" "")"),10.0)</f>
        <v>10</v>
      </c>
      <c r="W592" s="62" t="str">
        <f>IFERROR(__xludf.DUMMYFUNCTION("""COMPUTED_VALUE"""),"Large")</f>
        <v>Large</v>
      </c>
      <c r="X592" s="62" t="str">
        <f>IFERROR(__xludf.DUMMYFUNCTION("""COMPUTED_VALUE"""),"Zonaite")</f>
        <v>Zonaite</v>
      </c>
      <c r="Y592" s="62"/>
      <c r="Z592" s="62"/>
      <c r="AA592" s="62"/>
      <c r="AB592" s="63"/>
      <c r="AC592" s="62" t="str">
        <f t="shared" si="2"/>
        <v>Large Zonaite</v>
      </c>
    </row>
    <row r="593">
      <c r="U593" s="62" t="str">
        <f>IFERROR(__xludf.DUMMYFUNCTION("""COMPUTED_VALUE"""),"10 Dazzlefruit")</f>
        <v>10 Dazzlefruit</v>
      </c>
      <c r="V593" s="62">
        <f>IFERROR(__xludf.DUMMYFUNCTION("SPLIT(U593,"" "")"),10.0)</f>
        <v>10</v>
      </c>
      <c r="W593" s="62" t="str">
        <f>IFERROR(__xludf.DUMMYFUNCTION("""COMPUTED_VALUE"""),"Dazzlefruit")</f>
        <v>Dazzlefruit</v>
      </c>
      <c r="X593" s="62"/>
      <c r="Y593" s="62"/>
      <c r="Z593" s="62"/>
      <c r="AA593" s="62"/>
      <c r="AB593" s="63"/>
      <c r="AC593" s="62" t="str">
        <f t="shared" si="2"/>
        <v>Dazzlefruit</v>
      </c>
    </row>
    <row r="594">
      <c r="U594" s="62" t="str">
        <f>IFERROR(__xludf.DUMMYFUNCTION("""COMPUTED_VALUE"""),"1 Topaz")</f>
        <v>1 Topaz</v>
      </c>
      <c r="V594" s="62">
        <f>IFERROR(__xludf.DUMMYFUNCTION("SPLIT(U594,"" "")"),1.0)</f>
        <v>1</v>
      </c>
      <c r="W594" s="62" t="str">
        <f>IFERROR(__xludf.DUMMYFUNCTION("""COMPUTED_VALUE"""),"Topaz")</f>
        <v>Topaz</v>
      </c>
      <c r="X594" s="62"/>
      <c r="Y594" s="62"/>
      <c r="Z594" s="62"/>
      <c r="AA594" s="62"/>
      <c r="AB594" s="63"/>
      <c r="AC594" s="62" t="str">
        <f t="shared" si="2"/>
        <v>Topaz</v>
      </c>
    </row>
    <row r="595">
      <c r="U595" s="62" t="str">
        <f>IFERROR(__xludf.DUMMYFUNCTION("""COMPUTED_VALUE"""),"5 Zonaite")</f>
        <v>5 Zonaite</v>
      </c>
      <c r="V595" s="62">
        <f>IFERROR(__xludf.DUMMYFUNCTION("SPLIT(U595,"" "")"),5.0)</f>
        <v>5</v>
      </c>
      <c r="W595" s="62" t="str">
        <f>IFERROR(__xludf.DUMMYFUNCTION("""COMPUTED_VALUE"""),"Zonaite")</f>
        <v>Zonaite</v>
      </c>
      <c r="X595" s="62"/>
      <c r="Y595" s="62"/>
      <c r="Z595" s="62"/>
      <c r="AA595" s="62"/>
      <c r="AB595" s="63"/>
      <c r="AC595" s="62" t="str">
        <f t="shared" si="2"/>
        <v>Zonaite</v>
      </c>
    </row>
    <row r="596">
      <c r="U596" s="62" t="str">
        <f>IFERROR(__xludf.DUMMYFUNCTION("""COMPUTED_VALUE"""),"4 Topaz")</f>
        <v>4 Topaz</v>
      </c>
      <c r="V596" s="62">
        <f>IFERROR(__xludf.DUMMYFUNCTION("SPLIT(U596,"" "")"),4.0)</f>
        <v>4</v>
      </c>
      <c r="W596" s="62" t="str">
        <f>IFERROR(__xludf.DUMMYFUNCTION("""COMPUTED_VALUE"""),"Topaz")</f>
        <v>Topaz</v>
      </c>
      <c r="X596" s="62"/>
      <c r="Y596" s="62"/>
      <c r="Z596" s="62"/>
      <c r="AA596" s="62"/>
      <c r="AB596" s="63"/>
      <c r="AC596" s="62" t="str">
        <f t="shared" si="2"/>
        <v>Topaz</v>
      </c>
    </row>
    <row r="597">
      <c r="U597" s="62" t="str">
        <f>IFERROR(__xludf.DUMMYFUNCTION("""COMPUTED_VALUE"""),"10 Zonaite")</f>
        <v>10 Zonaite</v>
      </c>
      <c r="V597" s="62">
        <f>IFERROR(__xludf.DUMMYFUNCTION("SPLIT(U597,"" "")"),10.0)</f>
        <v>10</v>
      </c>
      <c r="W597" s="62" t="str">
        <f>IFERROR(__xludf.DUMMYFUNCTION("""COMPUTED_VALUE"""),"Zonaite")</f>
        <v>Zonaite</v>
      </c>
      <c r="X597" s="62"/>
      <c r="Y597" s="62"/>
      <c r="Z597" s="62"/>
      <c r="AA597" s="62"/>
      <c r="AB597" s="63"/>
      <c r="AC597" s="62" t="str">
        <f t="shared" si="2"/>
        <v>Zonaite</v>
      </c>
    </row>
    <row r="598">
      <c r="U598" s="62" t="str">
        <f>IFERROR(__xludf.DUMMYFUNCTION("""COMPUTED_VALUE"""),"6 Topaz")</f>
        <v>6 Topaz</v>
      </c>
      <c r="V598" s="62">
        <f>IFERROR(__xludf.DUMMYFUNCTION("SPLIT(U598,"" "")"),6.0)</f>
        <v>6</v>
      </c>
      <c r="W598" s="62" t="str">
        <f>IFERROR(__xludf.DUMMYFUNCTION("""COMPUTED_VALUE"""),"Topaz")</f>
        <v>Topaz</v>
      </c>
      <c r="X598" s="62"/>
      <c r="Y598" s="62"/>
      <c r="Z598" s="62"/>
      <c r="AA598" s="62"/>
      <c r="AB598" s="63"/>
      <c r="AC598" s="62" t="str">
        <f t="shared" si="2"/>
        <v>Topaz</v>
      </c>
    </row>
    <row r="599">
      <c r="U599" s="62" t="str">
        <f>IFERROR(__xludf.DUMMYFUNCTION("""COMPUTED_VALUE"""),"5 Large Zonaite")</f>
        <v>5 Large Zonaite</v>
      </c>
      <c r="V599" s="62">
        <f>IFERROR(__xludf.DUMMYFUNCTION("SPLIT(U599,"" "")"),5.0)</f>
        <v>5</v>
      </c>
      <c r="W599" s="62" t="str">
        <f>IFERROR(__xludf.DUMMYFUNCTION("""COMPUTED_VALUE"""),"Large")</f>
        <v>Large</v>
      </c>
      <c r="X599" s="62" t="str">
        <f>IFERROR(__xludf.DUMMYFUNCTION("""COMPUTED_VALUE"""),"Zonaite")</f>
        <v>Zonaite</v>
      </c>
      <c r="Y599" s="62"/>
      <c r="Z599" s="62"/>
      <c r="AA599" s="62"/>
      <c r="AB599" s="63"/>
      <c r="AC599" s="62" t="str">
        <f t="shared" si="2"/>
        <v>Large Zonaite</v>
      </c>
    </row>
    <row r="600">
      <c r="U600" s="62" t="str">
        <f>IFERROR(__xludf.DUMMYFUNCTION("""COMPUTED_VALUE"""),"5 Dazzlefruit")</f>
        <v>5 Dazzlefruit</v>
      </c>
      <c r="V600" s="62">
        <f>IFERROR(__xludf.DUMMYFUNCTION("SPLIT(U600,"" "")"),5.0)</f>
        <v>5</v>
      </c>
      <c r="W600" s="62" t="str">
        <f>IFERROR(__xludf.DUMMYFUNCTION("""COMPUTED_VALUE"""),"Dazzlefruit")</f>
        <v>Dazzlefruit</v>
      </c>
      <c r="X600" s="62"/>
      <c r="Y600" s="62"/>
      <c r="Z600" s="62"/>
      <c r="AA600" s="62"/>
      <c r="AB600" s="63"/>
      <c r="AC600" s="62" t="str">
        <f t="shared" si="2"/>
        <v>Dazzlefruit</v>
      </c>
    </row>
    <row r="601">
      <c r="U601" s="62" t="str">
        <f>IFERROR(__xludf.DUMMYFUNCTION("""COMPUTED_VALUE"""),"10 Topaz")</f>
        <v>10 Topaz</v>
      </c>
      <c r="V601" s="62">
        <f>IFERROR(__xludf.DUMMYFUNCTION("SPLIT(U601,"" "")"),10.0)</f>
        <v>10</v>
      </c>
      <c r="W601" s="62" t="str">
        <f>IFERROR(__xludf.DUMMYFUNCTION("""COMPUTED_VALUE"""),"Topaz")</f>
        <v>Topaz</v>
      </c>
      <c r="X601" s="62"/>
      <c r="Y601" s="62"/>
      <c r="Z601" s="62"/>
      <c r="AA601" s="62"/>
      <c r="AB601" s="63"/>
      <c r="AC601" s="62" t="str">
        <f t="shared" si="2"/>
        <v>Topaz</v>
      </c>
    </row>
    <row r="602">
      <c r="U602" s="62" t="str">
        <f>IFERROR(__xludf.DUMMYFUNCTION("""COMPUTED_VALUE"""),"10 Large Zonaite")</f>
        <v>10 Large Zonaite</v>
      </c>
      <c r="V602" s="62">
        <f>IFERROR(__xludf.DUMMYFUNCTION("SPLIT(U602,"" "")"),10.0)</f>
        <v>10</v>
      </c>
      <c r="W602" s="62" t="str">
        <f>IFERROR(__xludf.DUMMYFUNCTION("""COMPUTED_VALUE"""),"Large")</f>
        <v>Large</v>
      </c>
      <c r="X602" s="62" t="str">
        <f>IFERROR(__xludf.DUMMYFUNCTION("""COMPUTED_VALUE"""),"Zonaite")</f>
        <v>Zonaite</v>
      </c>
      <c r="Y602" s="62"/>
      <c r="Z602" s="62"/>
      <c r="AA602" s="62"/>
      <c r="AB602" s="63"/>
      <c r="AC602" s="62" t="str">
        <f t="shared" si="2"/>
        <v>Large Zonaite</v>
      </c>
    </row>
    <row r="603">
      <c r="U603" s="62" t="str">
        <f>IFERROR(__xludf.DUMMYFUNCTION("""COMPUTED_VALUE"""),"10 Dazzlefruit")</f>
        <v>10 Dazzlefruit</v>
      </c>
      <c r="V603" s="62">
        <f>IFERROR(__xludf.DUMMYFUNCTION("SPLIT(U603,"" "")"),10.0)</f>
        <v>10</v>
      </c>
      <c r="W603" s="62" t="str">
        <f>IFERROR(__xludf.DUMMYFUNCTION("""COMPUTED_VALUE"""),"Dazzlefruit")</f>
        <v>Dazzlefruit</v>
      </c>
      <c r="X603" s="62"/>
      <c r="Y603" s="62"/>
      <c r="Z603" s="62"/>
      <c r="AA603" s="62"/>
      <c r="AB603" s="63"/>
      <c r="AC603" s="62" t="str">
        <f t="shared" si="2"/>
        <v>Dazzlefruit</v>
      </c>
    </row>
    <row r="604">
      <c r="U604" s="62" t="str">
        <f>IFERROR(__xludf.DUMMYFUNCTION("""COMPUTED_VALUE"""),"5 Opal")</f>
        <v>5 Opal</v>
      </c>
      <c r="V604" s="62">
        <f>IFERROR(__xludf.DUMMYFUNCTION("SPLIT(U604,"" "")"),5.0)</f>
        <v>5</v>
      </c>
      <c r="W604" s="62" t="str">
        <f>IFERROR(__xludf.DUMMYFUNCTION("""COMPUTED_VALUE"""),"Opal")</f>
        <v>Opal</v>
      </c>
      <c r="X604" s="62"/>
      <c r="Y604" s="62"/>
      <c r="Z604" s="62"/>
      <c r="AA604" s="62"/>
      <c r="AB604" s="63"/>
      <c r="AC604" s="62" t="str">
        <f t="shared" si="2"/>
        <v>Opal</v>
      </c>
    </row>
    <row r="605">
      <c r="U605" s="62" t="str">
        <f>IFERROR(__xludf.DUMMYFUNCTION("""COMPUTED_VALUE"""),"5 Zonaite")</f>
        <v>5 Zonaite</v>
      </c>
      <c r="V605" s="62">
        <f>IFERROR(__xludf.DUMMYFUNCTION("SPLIT(U605,"" "")"),5.0)</f>
        <v>5</v>
      </c>
      <c r="W605" s="62" t="str">
        <f>IFERROR(__xludf.DUMMYFUNCTION("""COMPUTED_VALUE"""),"Zonaite")</f>
        <v>Zonaite</v>
      </c>
      <c r="X605" s="62"/>
      <c r="Y605" s="62"/>
      <c r="Z605" s="62"/>
      <c r="AA605" s="62"/>
      <c r="AB605" s="63"/>
      <c r="AC605" s="62" t="str">
        <f t="shared" si="2"/>
        <v>Zonaite</v>
      </c>
    </row>
    <row r="606">
      <c r="U606" s="62" t="str">
        <f>IFERROR(__xludf.DUMMYFUNCTION("""COMPUTED_VALUE"""),"10 Opal")</f>
        <v>10 Opal</v>
      </c>
      <c r="V606" s="62">
        <f>IFERROR(__xludf.DUMMYFUNCTION("SPLIT(U606,"" "")"),10.0)</f>
        <v>10</v>
      </c>
      <c r="W606" s="62" t="str">
        <f>IFERROR(__xludf.DUMMYFUNCTION("""COMPUTED_VALUE"""),"Opal")</f>
        <v>Opal</v>
      </c>
      <c r="X606" s="62"/>
      <c r="Y606" s="62"/>
      <c r="Z606" s="62"/>
      <c r="AA606" s="62"/>
      <c r="AB606" s="63"/>
      <c r="AC606" s="62" t="str">
        <f t="shared" si="2"/>
        <v>Opal</v>
      </c>
    </row>
    <row r="607">
      <c r="U607" s="62" t="str">
        <f>IFERROR(__xludf.DUMMYFUNCTION("""COMPUTED_VALUE"""),"10 Zonaite")</f>
        <v>10 Zonaite</v>
      </c>
      <c r="V607" s="62">
        <f>IFERROR(__xludf.DUMMYFUNCTION("SPLIT(U607,"" "")"),10.0)</f>
        <v>10</v>
      </c>
      <c r="W607" s="62" t="str">
        <f>IFERROR(__xludf.DUMMYFUNCTION("""COMPUTED_VALUE"""),"Zonaite")</f>
        <v>Zonaite</v>
      </c>
      <c r="X607" s="62"/>
      <c r="Y607" s="62"/>
      <c r="Z607" s="62"/>
      <c r="AA607" s="62"/>
      <c r="AB607" s="63"/>
      <c r="AC607" s="62" t="str">
        <f t="shared" si="2"/>
        <v>Zonaite</v>
      </c>
    </row>
    <row r="608">
      <c r="U608" s="62" t="str">
        <f>IFERROR(__xludf.DUMMYFUNCTION("""COMPUTED_VALUE"""),"15 Opal")</f>
        <v>15 Opal</v>
      </c>
      <c r="V608" s="62">
        <f>IFERROR(__xludf.DUMMYFUNCTION("SPLIT(U608,"" "")"),15.0)</f>
        <v>15</v>
      </c>
      <c r="W608" s="62" t="str">
        <f>IFERROR(__xludf.DUMMYFUNCTION("""COMPUTED_VALUE"""),"Opal")</f>
        <v>Opal</v>
      </c>
      <c r="X608" s="62"/>
      <c r="Y608" s="62"/>
      <c r="Z608" s="62"/>
      <c r="AA608" s="62"/>
      <c r="AB608" s="63"/>
      <c r="AC608" s="62" t="str">
        <f t="shared" si="2"/>
        <v>Opal</v>
      </c>
    </row>
    <row r="609">
      <c r="U609" s="62" t="str">
        <f>IFERROR(__xludf.DUMMYFUNCTION("""COMPUTED_VALUE"""),"5 Large Zonaite")</f>
        <v>5 Large Zonaite</v>
      </c>
      <c r="V609" s="62">
        <f>IFERROR(__xludf.DUMMYFUNCTION("SPLIT(U609,"" "")"),5.0)</f>
        <v>5</v>
      </c>
      <c r="W609" s="62" t="str">
        <f>IFERROR(__xludf.DUMMYFUNCTION("""COMPUTED_VALUE"""),"Large")</f>
        <v>Large</v>
      </c>
      <c r="X609" s="62" t="str">
        <f>IFERROR(__xludf.DUMMYFUNCTION("""COMPUTED_VALUE"""),"Zonaite")</f>
        <v>Zonaite</v>
      </c>
      <c r="Y609" s="62"/>
      <c r="Z609" s="62"/>
      <c r="AA609" s="62"/>
      <c r="AB609" s="63"/>
      <c r="AC609" s="62" t="str">
        <f t="shared" si="2"/>
        <v>Large Zonaite</v>
      </c>
    </row>
    <row r="610">
      <c r="U610" s="62" t="str">
        <f>IFERROR(__xludf.DUMMYFUNCTION("""COMPUTED_VALUE"""),"5 Dazzlefruit")</f>
        <v>5 Dazzlefruit</v>
      </c>
      <c r="V610" s="62">
        <f>IFERROR(__xludf.DUMMYFUNCTION("SPLIT(U610,"" "")"),5.0)</f>
        <v>5</v>
      </c>
      <c r="W610" s="62" t="str">
        <f>IFERROR(__xludf.DUMMYFUNCTION("""COMPUTED_VALUE"""),"Dazzlefruit")</f>
        <v>Dazzlefruit</v>
      </c>
      <c r="X610" s="62"/>
      <c r="Y610" s="62"/>
      <c r="Z610" s="62"/>
      <c r="AA610" s="62"/>
      <c r="AB610" s="63"/>
      <c r="AC610" s="62" t="str">
        <f t="shared" si="2"/>
        <v>Dazzlefruit</v>
      </c>
    </row>
    <row r="611">
      <c r="U611" s="62" t="str">
        <f>IFERROR(__xludf.DUMMYFUNCTION("""COMPUTED_VALUE"""),"25 Opal")</f>
        <v>25 Opal</v>
      </c>
      <c r="V611" s="62">
        <f>IFERROR(__xludf.DUMMYFUNCTION("SPLIT(U611,"" "")"),25.0)</f>
        <v>25</v>
      </c>
      <c r="W611" s="62" t="str">
        <f>IFERROR(__xludf.DUMMYFUNCTION("""COMPUTED_VALUE"""),"Opal")</f>
        <v>Opal</v>
      </c>
      <c r="X611" s="62"/>
      <c r="Y611" s="62"/>
      <c r="Z611" s="62"/>
      <c r="AA611" s="62"/>
      <c r="AB611" s="63"/>
      <c r="AC611" s="62" t="str">
        <f t="shared" si="2"/>
        <v>Opal</v>
      </c>
    </row>
    <row r="612">
      <c r="U612" s="62" t="str">
        <f>IFERROR(__xludf.DUMMYFUNCTION("""COMPUTED_VALUE"""),"10 Large Zonaite")</f>
        <v>10 Large Zonaite</v>
      </c>
      <c r="V612" s="62">
        <f>IFERROR(__xludf.DUMMYFUNCTION("SPLIT(U612,"" "")"),10.0)</f>
        <v>10</v>
      </c>
      <c r="W612" s="62" t="str">
        <f>IFERROR(__xludf.DUMMYFUNCTION("""COMPUTED_VALUE"""),"Large")</f>
        <v>Large</v>
      </c>
      <c r="X612" s="62" t="str">
        <f>IFERROR(__xludf.DUMMYFUNCTION("""COMPUTED_VALUE"""),"Zonaite")</f>
        <v>Zonaite</v>
      </c>
      <c r="Y612" s="62"/>
      <c r="Z612" s="62"/>
      <c r="AA612" s="62"/>
      <c r="AB612" s="63"/>
      <c r="AC612" s="62" t="str">
        <f t="shared" si="2"/>
        <v>Large Zonaite</v>
      </c>
    </row>
    <row r="613">
      <c r="U613" s="62" t="str">
        <f>IFERROR(__xludf.DUMMYFUNCTION("""COMPUTED_VALUE"""),"10 Dazzlefruit")</f>
        <v>10 Dazzlefruit</v>
      </c>
      <c r="V613" s="62">
        <f>IFERROR(__xludf.DUMMYFUNCTION("SPLIT(U613,"" "")"),10.0)</f>
        <v>10</v>
      </c>
      <c r="W613" s="62" t="str">
        <f>IFERROR(__xludf.DUMMYFUNCTION("""COMPUTED_VALUE"""),"Dazzlefruit")</f>
        <v>Dazzlefruit</v>
      </c>
      <c r="X613" s="62"/>
      <c r="Y613" s="62"/>
      <c r="Z613" s="62"/>
      <c r="AA613" s="62"/>
      <c r="AB613" s="63"/>
      <c r="AC613" s="62" t="str">
        <f t="shared" si="2"/>
        <v>Dazzlefruit</v>
      </c>
    </row>
    <row r="614">
      <c r="U614" s="62" t="str">
        <f>IFERROR(__xludf.DUMMYFUNCTION("""COMPUTED_VALUE"""),"5 Soldier Construct Horn")</f>
        <v>5 Soldier Construct Horn</v>
      </c>
      <c r="V614" s="62">
        <f>IFERROR(__xludf.DUMMYFUNCTION("SPLIT(U614,"" "")"),5.0)</f>
        <v>5</v>
      </c>
      <c r="W614" s="62" t="str">
        <f>IFERROR(__xludf.DUMMYFUNCTION("""COMPUTED_VALUE"""),"Soldier")</f>
        <v>Soldier</v>
      </c>
      <c r="X614" s="62" t="str">
        <f>IFERROR(__xludf.DUMMYFUNCTION("""COMPUTED_VALUE"""),"Construct")</f>
        <v>Construct</v>
      </c>
      <c r="Y614" s="62" t="str">
        <f>IFERROR(__xludf.DUMMYFUNCTION("""COMPUTED_VALUE"""),"Horn")</f>
        <v>Horn</v>
      </c>
      <c r="Z614" s="62"/>
      <c r="AA614" s="62"/>
      <c r="AB614" s="63"/>
      <c r="AC614" s="62" t="str">
        <f t="shared" si="2"/>
        <v>Soldier Construct Horn</v>
      </c>
    </row>
    <row r="615">
      <c r="U615" s="62" t="str">
        <f>IFERROR(__xludf.DUMMYFUNCTION("""COMPUTED_VALUE"""),"5 Soldier Construct II Horn")</f>
        <v>5 Soldier Construct II Horn</v>
      </c>
      <c r="V615" s="62">
        <f>IFERROR(__xludf.DUMMYFUNCTION("SPLIT(U615,"" "")"),5.0)</f>
        <v>5</v>
      </c>
      <c r="W615" s="62" t="str">
        <f>IFERROR(__xludf.DUMMYFUNCTION("""COMPUTED_VALUE"""),"Soldier")</f>
        <v>Soldier</v>
      </c>
      <c r="X615" s="62" t="str">
        <f>IFERROR(__xludf.DUMMYFUNCTION("""COMPUTED_VALUE"""),"Construct")</f>
        <v>Construct</v>
      </c>
      <c r="Y615" s="62" t="str">
        <f>IFERROR(__xludf.DUMMYFUNCTION("""COMPUTED_VALUE"""),"II")</f>
        <v>II</v>
      </c>
      <c r="Z615" s="62" t="str">
        <f>IFERROR(__xludf.DUMMYFUNCTION("""COMPUTED_VALUE"""),"Horn")</f>
        <v>Horn</v>
      </c>
      <c r="AA615" s="62"/>
      <c r="AB615" s="63"/>
      <c r="AC615" s="62" t="str">
        <f t="shared" si="2"/>
        <v>Soldier Construct II Horn</v>
      </c>
    </row>
    <row r="616">
      <c r="U616" s="62" t="str">
        <f>IFERROR(__xludf.DUMMYFUNCTION("""COMPUTED_VALUE"""),"5 Captain Construct I Horn")</f>
        <v>5 Captain Construct I Horn</v>
      </c>
      <c r="V616" s="62">
        <f>IFERROR(__xludf.DUMMYFUNCTION("SPLIT(U616,"" "")"),5.0)</f>
        <v>5</v>
      </c>
      <c r="W616" s="62" t="str">
        <f>IFERROR(__xludf.DUMMYFUNCTION("""COMPUTED_VALUE"""),"Captain")</f>
        <v>Captain</v>
      </c>
      <c r="X616" s="62" t="str">
        <f>IFERROR(__xludf.DUMMYFUNCTION("""COMPUTED_VALUE"""),"Construct")</f>
        <v>Construct</v>
      </c>
      <c r="Y616" s="62" t="str">
        <f>IFERROR(__xludf.DUMMYFUNCTION("""COMPUTED_VALUE"""),"I")</f>
        <v>I</v>
      </c>
      <c r="Z616" s="62" t="str">
        <f>IFERROR(__xludf.DUMMYFUNCTION("""COMPUTED_VALUE"""),"Horn")</f>
        <v>Horn</v>
      </c>
      <c r="AA616" s="62"/>
      <c r="AB616" s="63"/>
      <c r="AC616" s="62" t="str">
        <f t="shared" si="2"/>
        <v>Captain Construct I Horn</v>
      </c>
    </row>
    <row r="617">
      <c r="U617" s="62" t="str">
        <f>IFERROR(__xludf.DUMMYFUNCTION("""COMPUTED_VALUE"""),"5 Zonaite")</f>
        <v>5 Zonaite</v>
      </c>
      <c r="V617" s="62">
        <f>IFERROR(__xludf.DUMMYFUNCTION("SPLIT(U617,"" "")"),5.0)</f>
        <v>5</v>
      </c>
      <c r="W617" s="62" t="str">
        <f>IFERROR(__xludf.DUMMYFUNCTION("""COMPUTED_VALUE"""),"Zonaite")</f>
        <v>Zonaite</v>
      </c>
      <c r="X617" s="62"/>
      <c r="Y617" s="62"/>
      <c r="Z617" s="62"/>
      <c r="AA617" s="62"/>
      <c r="AB617" s="63"/>
      <c r="AC617" s="62" t="str">
        <f t="shared" si="2"/>
        <v>Zonaite</v>
      </c>
    </row>
    <row r="618">
      <c r="U618" s="62" t="str">
        <f>IFERROR(__xludf.DUMMYFUNCTION("""COMPUTED_VALUE"""),"5 Soldier Construct III Horn")</f>
        <v>5 Soldier Construct III Horn</v>
      </c>
      <c r="V618" s="62">
        <f>IFERROR(__xludf.DUMMYFUNCTION("SPLIT(U618,"" "")"),5.0)</f>
        <v>5</v>
      </c>
      <c r="W618" s="62" t="str">
        <f>IFERROR(__xludf.DUMMYFUNCTION("""COMPUTED_VALUE"""),"Soldier")</f>
        <v>Soldier</v>
      </c>
      <c r="X618" s="62" t="str">
        <f>IFERROR(__xludf.DUMMYFUNCTION("""COMPUTED_VALUE"""),"Construct")</f>
        <v>Construct</v>
      </c>
      <c r="Y618" s="62" t="str">
        <f>IFERROR(__xludf.DUMMYFUNCTION("""COMPUTED_VALUE"""),"III")</f>
        <v>III</v>
      </c>
      <c r="Z618" s="62" t="str">
        <f>IFERROR(__xludf.DUMMYFUNCTION("""COMPUTED_VALUE"""),"Horn")</f>
        <v>Horn</v>
      </c>
      <c r="AA618" s="62"/>
      <c r="AB618" s="63"/>
      <c r="AC618" s="62" t="str">
        <f t="shared" si="2"/>
        <v>Soldier Construct III Horn</v>
      </c>
    </row>
    <row r="619">
      <c r="U619" s="62" t="str">
        <f>IFERROR(__xludf.DUMMYFUNCTION("""COMPUTED_VALUE"""),"5 Captain Construct II Horn")</f>
        <v>5 Captain Construct II Horn</v>
      </c>
      <c r="V619" s="62">
        <f>IFERROR(__xludf.DUMMYFUNCTION("SPLIT(U619,"" "")"),5.0)</f>
        <v>5</v>
      </c>
      <c r="W619" s="62" t="str">
        <f>IFERROR(__xludf.DUMMYFUNCTION("""COMPUTED_VALUE"""),"Captain")</f>
        <v>Captain</v>
      </c>
      <c r="X619" s="62" t="str">
        <f>IFERROR(__xludf.DUMMYFUNCTION("""COMPUTED_VALUE"""),"Construct")</f>
        <v>Construct</v>
      </c>
      <c r="Y619" s="62" t="str">
        <f>IFERROR(__xludf.DUMMYFUNCTION("""COMPUTED_VALUE"""),"II")</f>
        <v>II</v>
      </c>
      <c r="Z619" s="62" t="str">
        <f>IFERROR(__xludf.DUMMYFUNCTION("""COMPUTED_VALUE"""),"Horn")</f>
        <v>Horn</v>
      </c>
      <c r="AA619" s="62"/>
      <c r="AB619" s="63"/>
      <c r="AC619" s="62" t="str">
        <f t="shared" si="2"/>
        <v>Captain Construct II Horn</v>
      </c>
    </row>
    <row r="620">
      <c r="U620" s="62" t="str">
        <f>IFERROR(__xludf.DUMMYFUNCTION("""COMPUTED_VALUE"""),"5 Large Zonaite")</f>
        <v>5 Large Zonaite</v>
      </c>
      <c r="V620" s="62">
        <f>IFERROR(__xludf.DUMMYFUNCTION("SPLIT(U620,"" "")"),5.0)</f>
        <v>5</v>
      </c>
      <c r="W620" s="62" t="str">
        <f>IFERROR(__xludf.DUMMYFUNCTION("""COMPUTED_VALUE"""),"Large")</f>
        <v>Large</v>
      </c>
      <c r="X620" s="62" t="str">
        <f>IFERROR(__xludf.DUMMYFUNCTION("""COMPUTED_VALUE"""),"Zonaite")</f>
        <v>Zonaite</v>
      </c>
      <c r="Y620" s="62"/>
      <c r="Z620" s="62"/>
      <c r="AA620" s="62"/>
      <c r="AB620" s="63"/>
      <c r="AC620" s="62" t="str">
        <f t="shared" si="2"/>
        <v>Large Zonaite</v>
      </c>
    </row>
    <row r="621">
      <c r="U621" s="62" t="str">
        <f>IFERROR(__xludf.DUMMYFUNCTION("""COMPUTED_VALUE"""),"5 Soldier Construct IV Horn")</f>
        <v>5 Soldier Construct IV Horn</v>
      </c>
      <c r="V621" s="62">
        <f>IFERROR(__xludf.DUMMYFUNCTION("SPLIT(U621,"" "")"),5.0)</f>
        <v>5</v>
      </c>
      <c r="W621" s="62" t="str">
        <f>IFERROR(__xludf.DUMMYFUNCTION("""COMPUTED_VALUE"""),"Soldier")</f>
        <v>Soldier</v>
      </c>
      <c r="X621" s="62" t="str">
        <f>IFERROR(__xludf.DUMMYFUNCTION("""COMPUTED_VALUE"""),"Construct")</f>
        <v>Construct</v>
      </c>
      <c r="Y621" s="62" t="str">
        <f>IFERROR(__xludf.DUMMYFUNCTION("""COMPUTED_VALUE"""),"IV")</f>
        <v>IV</v>
      </c>
      <c r="Z621" s="62" t="str">
        <f>IFERROR(__xludf.DUMMYFUNCTION("""COMPUTED_VALUE"""),"Horn")</f>
        <v>Horn</v>
      </c>
      <c r="AA621" s="62"/>
      <c r="AB621" s="63"/>
      <c r="AC621" s="62" t="str">
        <f t="shared" si="2"/>
        <v>Soldier Construct IV Horn</v>
      </c>
    </row>
    <row r="622">
      <c r="U622" s="62" t="str">
        <f>IFERROR(__xludf.DUMMYFUNCTION("""COMPUTED_VALUE"""),"5 Captain Construct III Horn")</f>
        <v>5 Captain Construct III Horn</v>
      </c>
      <c r="V622" s="62">
        <f>IFERROR(__xludf.DUMMYFUNCTION("SPLIT(U622,"" "")"),5.0)</f>
        <v>5</v>
      </c>
      <c r="W622" s="62" t="str">
        <f>IFERROR(__xludf.DUMMYFUNCTION("""COMPUTED_VALUE"""),"Captain")</f>
        <v>Captain</v>
      </c>
      <c r="X622" s="62" t="str">
        <f>IFERROR(__xludf.DUMMYFUNCTION("""COMPUTED_VALUE"""),"Construct")</f>
        <v>Construct</v>
      </c>
      <c r="Y622" s="62" t="str">
        <f>IFERROR(__xludf.DUMMYFUNCTION("""COMPUTED_VALUE"""),"III")</f>
        <v>III</v>
      </c>
      <c r="Z622" s="62" t="str">
        <f>IFERROR(__xludf.DUMMYFUNCTION("""COMPUTED_VALUE"""),"Horn")</f>
        <v>Horn</v>
      </c>
      <c r="AA622" s="62"/>
      <c r="AB622" s="63"/>
      <c r="AC622" s="62" t="str">
        <f t="shared" si="2"/>
        <v>Captain Construct III Horn</v>
      </c>
    </row>
    <row r="623">
      <c r="U623" s="62" t="str">
        <f>IFERROR(__xludf.DUMMYFUNCTION("""COMPUTED_VALUE"""),"10 Large Zonaite")</f>
        <v>10 Large Zonaite</v>
      </c>
      <c r="V623" s="62">
        <f>IFERROR(__xludf.DUMMYFUNCTION("SPLIT(U623,"" "")"),10.0)</f>
        <v>10</v>
      </c>
      <c r="W623" s="62" t="str">
        <f>IFERROR(__xludf.DUMMYFUNCTION("""COMPUTED_VALUE"""),"Large")</f>
        <v>Large</v>
      </c>
      <c r="X623" s="62" t="str">
        <f>IFERROR(__xludf.DUMMYFUNCTION("""COMPUTED_VALUE"""),"Zonaite")</f>
        <v>Zonaite</v>
      </c>
      <c r="Y623" s="62"/>
      <c r="Z623" s="62"/>
      <c r="AA623" s="62"/>
      <c r="AB623" s="63"/>
      <c r="AC623" s="62" t="str">
        <f t="shared" si="2"/>
        <v>Large Zonaite</v>
      </c>
    </row>
    <row r="624">
      <c r="U624" s="62" t="str">
        <f>IFERROR(__xludf.DUMMYFUNCTION("""COMPUTED_VALUE"""),"5 Soldier Construct Horn")</f>
        <v>5 Soldier Construct Horn</v>
      </c>
      <c r="V624" s="62">
        <f>IFERROR(__xludf.DUMMYFUNCTION("SPLIT(U624,"" "")"),5.0)</f>
        <v>5</v>
      </c>
      <c r="W624" s="62" t="str">
        <f>IFERROR(__xludf.DUMMYFUNCTION("""COMPUTED_VALUE"""),"Soldier")</f>
        <v>Soldier</v>
      </c>
      <c r="X624" s="62" t="str">
        <f>IFERROR(__xludf.DUMMYFUNCTION("""COMPUTED_VALUE"""),"Construct")</f>
        <v>Construct</v>
      </c>
      <c r="Y624" s="62" t="str">
        <f>IFERROR(__xludf.DUMMYFUNCTION("""COMPUTED_VALUE"""),"Horn")</f>
        <v>Horn</v>
      </c>
      <c r="Z624" s="62"/>
      <c r="AA624" s="62"/>
      <c r="AB624" s="63"/>
      <c r="AC624" s="62" t="str">
        <f t="shared" si="2"/>
        <v>Soldier Construct Horn</v>
      </c>
    </row>
    <row r="625">
      <c r="U625" s="62" t="str">
        <f>IFERROR(__xludf.DUMMYFUNCTION("""COMPUTED_VALUE"""),"5 Soldier Construct II Horn")</f>
        <v>5 Soldier Construct II Horn</v>
      </c>
      <c r="V625" s="62">
        <f>IFERROR(__xludf.DUMMYFUNCTION("SPLIT(U625,"" "")"),5.0)</f>
        <v>5</v>
      </c>
      <c r="W625" s="62" t="str">
        <f>IFERROR(__xludf.DUMMYFUNCTION("""COMPUTED_VALUE"""),"Soldier")</f>
        <v>Soldier</v>
      </c>
      <c r="X625" s="62" t="str">
        <f>IFERROR(__xludf.DUMMYFUNCTION("""COMPUTED_VALUE"""),"Construct")</f>
        <v>Construct</v>
      </c>
      <c r="Y625" s="62" t="str">
        <f>IFERROR(__xludf.DUMMYFUNCTION("""COMPUTED_VALUE"""),"II")</f>
        <v>II</v>
      </c>
      <c r="Z625" s="62" t="str">
        <f>IFERROR(__xludf.DUMMYFUNCTION("""COMPUTED_VALUE"""),"Horn")</f>
        <v>Horn</v>
      </c>
      <c r="AA625" s="62"/>
      <c r="AB625" s="63"/>
      <c r="AC625" s="62" t="str">
        <f t="shared" si="2"/>
        <v>Soldier Construct II Horn</v>
      </c>
    </row>
    <row r="626">
      <c r="U626" s="62" t="str">
        <f>IFERROR(__xludf.DUMMYFUNCTION("""COMPUTED_VALUE"""),"5 Captain Construct I Horn")</f>
        <v>5 Captain Construct I Horn</v>
      </c>
      <c r="V626" s="62">
        <f>IFERROR(__xludf.DUMMYFUNCTION("SPLIT(U626,"" "")"),5.0)</f>
        <v>5</v>
      </c>
      <c r="W626" s="62" t="str">
        <f>IFERROR(__xludf.DUMMYFUNCTION("""COMPUTED_VALUE"""),"Captain")</f>
        <v>Captain</v>
      </c>
      <c r="X626" s="62" t="str">
        <f>IFERROR(__xludf.DUMMYFUNCTION("""COMPUTED_VALUE"""),"Construct")</f>
        <v>Construct</v>
      </c>
      <c r="Y626" s="62" t="str">
        <f>IFERROR(__xludf.DUMMYFUNCTION("""COMPUTED_VALUE"""),"I")</f>
        <v>I</v>
      </c>
      <c r="Z626" s="62" t="str">
        <f>IFERROR(__xludf.DUMMYFUNCTION("""COMPUTED_VALUE"""),"Horn")</f>
        <v>Horn</v>
      </c>
      <c r="AA626" s="62"/>
      <c r="AB626" s="63"/>
      <c r="AC626" s="62" t="str">
        <f t="shared" si="2"/>
        <v>Captain Construct I Horn</v>
      </c>
    </row>
    <row r="627">
      <c r="U627" s="62" t="str">
        <f>IFERROR(__xludf.DUMMYFUNCTION("""COMPUTED_VALUE"""),"5 Zonaite")</f>
        <v>5 Zonaite</v>
      </c>
      <c r="V627" s="62">
        <f>IFERROR(__xludf.DUMMYFUNCTION("SPLIT(U627,"" "")"),5.0)</f>
        <v>5</v>
      </c>
      <c r="W627" s="62" t="str">
        <f>IFERROR(__xludf.DUMMYFUNCTION("""COMPUTED_VALUE"""),"Zonaite")</f>
        <v>Zonaite</v>
      </c>
      <c r="X627" s="62"/>
      <c r="Y627" s="62"/>
      <c r="Z627" s="62"/>
      <c r="AA627" s="62"/>
      <c r="AB627" s="63"/>
      <c r="AC627" s="62" t="str">
        <f t="shared" si="2"/>
        <v>Zonaite</v>
      </c>
    </row>
    <row r="628">
      <c r="U628" s="62" t="str">
        <f>IFERROR(__xludf.DUMMYFUNCTION("""COMPUTED_VALUE"""),"5 Soldier Construct III Horn")</f>
        <v>5 Soldier Construct III Horn</v>
      </c>
      <c r="V628" s="62">
        <f>IFERROR(__xludf.DUMMYFUNCTION("SPLIT(U628,"" "")"),5.0)</f>
        <v>5</v>
      </c>
      <c r="W628" s="62" t="str">
        <f>IFERROR(__xludf.DUMMYFUNCTION("""COMPUTED_VALUE"""),"Soldier")</f>
        <v>Soldier</v>
      </c>
      <c r="X628" s="62" t="str">
        <f>IFERROR(__xludf.DUMMYFUNCTION("""COMPUTED_VALUE"""),"Construct")</f>
        <v>Construct</v>
      </c>
      <c r="Y628" s="62" t="str">
        <f>IFERROR(__xludf.DUMMYFUNCTION("""COMPUTED_VALUE"""),"III")</f>
        <v>III</v>
      </c>
      <c r="Z628" s="62" t="str">
        <f>IFERROR(__xludf.DUMMYFUNCTION("""COMPUTED_VALUE"""),"Horn")</f>
        <v>Horn</v>
      </c>
      <c r="AA628" s="62"/>
      <c r="AB628" s="63"/>
      <c r="AC628" s="62" t="str">
        <f t="shared" si="2"/>
        <v>Soldier Construct III Horn</v>
      </c>
    </row>
    <row r="629">
      <c r="U629" s="62" t="str">
        <f>IFERROR(__xludf.DUMMYFUNCTION("""COMPUTED_VALUE"""),"5 Captain Construct II Horn")</f>
        <v>5 Captain Construct II Horn</v>
      </c>
      <c r="V629" s="62">
        <f>IFERROR(__xludf.DUMMYFUNCTION("SPLIT(U629,"" "")"),5.0)</f>
        <v>5</v>
      </c>
      <c r="W629" s="62" t="str">
        <f>IFERROR(__xludf.DUMMYFUNCTION("""COMPUTED_VALUE"""),"Captain")</f>
        <v>Captain</v>
      </c>
      <c r="X629" s="62" t="str">
        <f>IFERROR(__xludf.DUMMYFUNCTION("""COMPUTED_VALUE"""),"Construct")</f>
        <v>Construct</v>
      </c>
      <c r="Y629" s="62" t="str">
        <f>IFERROR(__xludf.DUMMYFUNCTION("""COMPUTED_VALUE"""),"II")</f>
        <v>II</v>
      </c>
      <c r="Z629" s="62" t="str">
        <f>IFERROR(__xludf.DUMMYFUNCTION("""COMPUTED_VALUE"""),"Horn")</f>
        <v>Horn</v>
      </c>
      <c r="AA629" s="62"/>
      <c r="AB629" s="63"/>
      <c r="AC629" s="62" t="str">
        <f t="shared" si="2"/>
        <v>Captain Construct II Horn</v>
      </c>
    </row>
    <row r="630">
      <c r="U630" s="62" t="str">
        <f>IFERROR(__xludf.DUMMYFUNCTION("""COMPUTED_VALUE"""),"5 Large Zonaite")</f>
        <v>5 Large Zonaite</v>
      </c>
      <c r="V630" s="62">
        <f>IFERROR(__xludf.DUMMYFUNCTION("SPLIT(U630,"" "")"),5.0)</f>
        <v>5</v>
      </c>
      <c r="W630" s="62" t="str">
        <f>IFERROR(__xludf.DUMMYFUNCTION("""COMPUTED_VALUE"""),"Large")</f>
        <v>Large</v>
      </c>
      <c r="X630" s="62" t="str">
        <f>IFERROR(__xludf.DUMMYFUNCTION("""COMPUTED_VALUE"""),"Zonaite")</f>
        <v>Zonaite</v>
      </c>
      <c r="Y630" s="62"/>
      <c r="Z630" s="62"/>
      <c r="AA630" s="62"/>
      <c r="AB630" s="63"/>
      <c r="AC630" s="62" t="str">
        <f t="shared" si="2"/>
        <v>Large Zonaite</v>
      </c>
    </row>
    <row r="631">
      <c r="U631" s="62" t="str">
        <f>IFERROR(__xludf.DUMMYFUNCTION("""COMPUTED_VALUE"""),"5 Soldier Construct IV Horn")</f>
        <v>5 Soldier Construct IV Horn</v>
      </c>
      <c r="V631" s="62">
        <f>IFERROR(__xludf.DUMMYFUNCTION("SPLIT(U631,"" "")"),5.0)</f>
        <v>5</v>
      </c>
      <c r="W631" s="62" t="str">
        <f>IFERROR(__xludf.DUMMYFUNCTION("""COMPUTED_VALUE"""),"Soldier")</f>
        <v>Soldier</v>
      </c>
      <c r="X631" s="62" t="str">
        <f>IFERROR(__xludf.DUMMYFUNCTION("""COMPUTED_VALUE"""),"Construct")</f>
        <v>Construct</v>
      </c>
      <c r="Y631" s="62" t="str">
        <f>IFERROR(__xludf.DUMMYFUNCTION("""COMPUTED_VALUE"""),"IV")</f>
        <v>IV</v>
      </c>
      <c r="Z631" s="62" t="str">
        <f>IFERROR(__xludf.DUMMYFUNCTION("""COMPUTED_VALUE"""),"Horn")</f>
        <v>Horn</v>
      </c>
      <c r="AA631" s="62"/>
      <c r="AB631" s="63"/>
      <c r="AC631" s="62" t="str">
        <f t="shared" si="2"/>
        <v>Soldier Construct IV Horn</v>
      </c>
    </row>
    <row r="632">
      <c r="U632" s="62" t="str">
        <f>IFERROR(__xludf.DUMMYFUNCTION("""COMPUTED_VALUE"""),"5 Captain Construct III Horn")</f>
        <v>5 Captain Construct III Horn</v>
      </c>
      <c r="V632" s="62">
        <f>IFERROR(__xludf.DUMMYFUNCTION("SPLIT(U632,"" "")"),5.0)</f>
        <v>5</v>
      </c>
      <c r="W632" s="62" t="str">
        <f>IFERROR(__xludf.DUMMYFUNCTION("""COMPUTED_VALUE"""),"Captain")</f>
        <v>Captain</v>
      </c>
      <c r="X632" s="62" t="str">
        <f>IFERROR(__xludf.DUMMYFUNCTION("""COMPUTED_VALUE"""),"Construct")</f>
        <v>Construct</v>
      </c>
      <c r="Y632" s="62" t="str">
        <f>IFERROR(__xludf.DUMMYFUNCTION("""COMPUTED_VALUE"""),"III")</f>
        <v>III</v>
      </c>
      <c r="Z632" s="62" t="str">
        <f>IFERROR(__xludf.DUMMYFUNCTION("""COMPUTED_VALUE"""),"Horn")</f>
        <v>Horn</v>
      </c>
      <c r="AA632" s="62"/>
      <c r="AB632" s="63"/>
      <c r="AC632" s="62" t="str">
        <f t="shared" si="2"/>
        <v>Captain Construct III Horn</v>
      </c>
    </row>
    <row r="633">
      <c r="U633" s="62" t="str">
        <f>IFERROR(__xludf.DUMMYFUNCTION("""COMPUTED_VALUE"""),"10 Large Zonaite")</f>
        <v>10 Large Zonaite</v>
      </c>
      <c r="V633" s="62">
        <f>IFERROR(__xludf.DUMMYFUNCTION("SPLIT(U633,"" "")"),10.0)</f>
        <v>10</v>
      </c>
      <c r="W633" s="62" t="str">
        <f>IFERROR(__xludf.DUMMYFUNCTION("""COMPUTED_VALUE"""),"Large")</f>
        <v>Large</v>
      </c>
      <c r="X633" s="62" t="str">
        <f>IFERROR(__xludf.DUMMYFUNCTION("""COMPUTED_VALUE"""),"Zonaite")</f>
        <v>Zonaite</v>
      </c>
      <c r="Y633" s="62"/>
      <c r="Z633" s="62"/>
      <c r="AA633" s="62"/>
      <c r="AB633" s="63"/>
      <c r="AC633" s="62" t="str">
        <f t="shared" si="2"/>
        <v>Large Zonaite</v>
      </c>
    </row>
    <row r="634">
      <c r="U634" s="62" t="str">
        <f>IFERROR(__xludf.DUMMYFUNCTION("""COMPUTED_VALUE"""),"5 Soldier Construct Horn")</f>
        <v>5 Soldier Construct Horn</v>
      </c>
      <c r="V634" s="62">
        <f>IFERROR(__xludf.DUMMYFUNCTION("SPLIT(U634,"" "")"),5.0)</f>
        <v>5</v>
      </c>
      <c r="W634" s="62" t="str">
        <f>IFERROR(__xludf.DUMMYFUNCTION("""COMPUTED_VALUE"""),"Soldier")</f>
        <v>Soldier</v>
      </c>
      <c r="X634" s="62" t="str">
        <f>IFERROR(__xludf.DUMMYFUNCTION("""COMPUTED_VALUE"""),"Construct")</f>
        <v>Construct</v>
      </c>
      <c r="Y634" s="62" t="str">
        <f>IFERROR(__xludf.DUMMYFUNCTION("""COMPUTED_VALUE"""),"Horn")</f>
        <v>Horn</v>
      </c>
      <c r="Z634" s="62"/>
      <c r="AA634" s="62"/>
      <c r="AB634" s="63"/>
      <c r="AC634" s="62" t="str">
        <f t="shared" si="2"/>
        <v>Soldier Construct Horn</v>
      </c>
    </row>
    <row r="635">
      <c r="U635" s="62" t="str">
        <f>IFERROR(__xludf.DUMMYFUNCTION("""COMPUTED_VALUE"""),"5 Soldier Construct II Horn")</f>
        <v>5 Soldier Construct II Horn</v>
      </c>
      <c r="V635" s="62">
        <f>IFERROR(__xludf.DUMMYFUNCTION("SPLIT(U635,"" "")"),5.0)</f>
        <v>5</v>
      </c>
      <c r="W635" s="62" t="str">
        <f>IFERROR(__xludf.DUMMYFUNCTION("""COMPUTED_VALUE"""),"Soldier")</f>
        <v>Soldier</v>
      </c>
      <c r="X635" s="62" t="str">
        <f>IFERROR(__xludf.DUMMYFUNCTION("""COMPUTED_VALUE"""),"Construct")</f>
        <v>Construct</v>
      </c>
      <c r="Y635" s="62" t="str">
        <f>IFERROR(__xludf.DUMMYFUNCTION("""COMPUTED_VALUE"""),"II")</f>
        <v>II</v>
      </c>
      <c r="Z635" s="62" t="str">
        <f>IFERROR(__xludf.DUMMYFUNCTION("""COMPUTED_VALUE"""),"Horn")</f>
        <v>Horn</v>
      </c>
      <c r="AA635" s="62"/>
      <c r="AB635" s="63"/>
      <c r="AC635" s="62" t="str">
        <f t="shared" si="2"/>
        <v>Soldier Construct II Horn</v>
      </c>
    </row>
    <row r="636">
      <c r="U636" s="62" t="str">
        <f>IFERROR(__xludf.DUMMYFUNCTION("""COMPUTED_VALUE"""),"5 Captain Construct I Horn")</f>
        <v>5 Captain Construct I Horn</v>
      </c>
      <c r="V636" s="62">
        <f>IFERROR(__xludf.DUMMYFUNCTION("SPLIT(U636,"" "")"),5.0)</f>
        <v>5</v>
      </c>
      <c r="W636" s="62" t="str">
        <f>IFERROR(__xludf.DUMMYFUNCTION("""COMPUTED_VALUE"""),"Captain")</f>
        <v>Captain</v>
      </c>
      <c r="X636" s="62" t="str">
        <f>IFERROR(__xludf.DUMMYFUNCTION("""COMPUTED_VALUE"""),"Construct")</f>
        <v>Construct</v>
      </c>
      <c r="Y636" s="62" t="str">
        <f>IFERROR(__xludf.DUMMYFUNCTION("""COMPUTED_VALUE"""),"I")</f>
        <v>I</v>
      </c>
      <c r="Z636" s="62" t="str">
        <f>IFERROR(__xludf.DUMMYFUNCTION("""COMPUTED_VALUE"""),"Horn")</f>
        <v>Horn</v>
      </c>
      <c r="AA636" s="62"/>
      <c r="AB636" s="63"/>
      <c r="AC636" s="62" t="str">
        <f t="shared" si="2"/>
        <v>Captain Construct I Horn</v>
      </c>
    </row>
    <row r="637">
      <c r="U637" s="62" t="str">
        <f>IFERROR(__xludf.DUMMYFUNCTION("""COMPUTED_VALUE"""),"5 Zonaite")</f>
        <v>5 Zonaite</v>
      </c>
      <c r="V637" s="62">
        <f>IFERROR(__xludf.DUMMYFUNCTION("SPLIT(U637,"" "")"),5.0)</f>
        <v>5</v>
      </c>
      <c r="W637" s="62" t="str">
        <f>IFERROR(__xludf.DUMMYFUNCTION("""COMPUTED_VALUE"""),"Zonaite")</f>
        <v>Zonaite</v>
      </c>
      <c r="X637" s="62"/>
      <c r="Y637" s="62"/>
      <c r="Z637" s="62"/>
      <c r="AA637" s="62"/>
      <c r="AB637" s="63"/>
      <c r="AC637" s="62" t="str">
        <f t="shared" si="2"/>
        <v>Zonaite</v>
      </c>
    </row>
    <row r="638">
      <c r="U638" s="62" t="str">
        <f>IFERROR(__xludf.DUMMYFUNCTION("""COMPUTED_VALUE"""),"5 Soldier Construct III Horn")</f>
        <v>5 Soldier Construct III Horn</v>
      </c>
      <c r="V638" s="62">
        <f>IFERROR(__xludf.DUMMYFUNCTION("SPLIT(U638,"" "")"),5.0)</f>
        <v>5</v>
      </c>
      <c r="W638" s="62" t="str">
        <f>IFERROR(__xludf.DUMMYFUNCTION("""COMPUTED_VALUE"""),"Soldier")</f>
        <v>Soldier</v>
      </c>
      <c r="X638" s="62" t="str">
        <f>IFERROR(__xludf.DUMMYFUNCTION("""COMPUTED_VALUE"""),"Construct")</f>
        <v>Construct</v>
      </c>
      <c r="Y638" s="62" t="str">
        <f>IFERROR(__xludf.DUMMYFUNCTION("""COMPUTED_VALUE"""),"III")</f>
        <v>III</v>
      </c>
      <c r="Z638" s="62" t="str">
        <f>IFERROR(__xludf.DUMMYFUNCTION("""COMPUTED_VALUE"""),"Horn")</f>
        <v>Horn</v>
      </c>
      <c r="AA638" s="62"/>
      <c r="AB638" s="63"/>
      <c r="AC638" s="62" t="str">
        <f t="shared" si="2"/>
        <v>Soldier Construct III Horn</v>
      </c>
    </row>
    <row r="639">
      <c r="U639" s="62" t="str">
        <f>IFERROR(__xludf.DUMMYFUNCTION("""COMPUTED_VALUE"""),"5 Captain Construct II Horn")</f>
        <v>5 Captain Construct II Horn</v>
      </c>
      <c r="V639" s="62">
        <f>IFERROR(__xludf.DUMMYFUNCTION("SPLIT(U639,"" "")"),5.0)</f>
        <v>5</v>
      </c>
      <c r="W639" s="62" t="str">
        <f>IFERROR(__xludf.DUMMYFUNCTION("""COMPUTED_VALUE"""),"Captain")</f>
        <v>Captain</v>
      </c>
      <c r="X639" s="62" t="str">
        <f>IFERROR(__xludf.DUMMYFUNCTION("""COMPUTED_VALUE"""),"Construct")</f>
        <v>Construct</v>
      </c>
      <c r="Y639" s="62" t="str">
        <f>IFERROR(__xludf.DUMMYFUNCTION("""COMPUTED_VALUE"""),"II")</f>
        <v>II</v>
      </c>
      <c r="Z639" s="62" t="str">
        <f>IFERROR(__xludf.DUMMYFUNCTION("""COMPUTED_VALUE"""),"Horn")</f>
        <v>Horn</v>
      </c>
      <c r="AA639" s="62"/>
      <c r="AB639" s="63"/>
      <c r="AC639" s="62" t="str">
        <f t="shared" si="2"/>
        <v>Captain Construct II Horn</v>
      </c>
    </row>
    <row r="640">
      <c r="U640" s="62" t="str">
        <f>IFERROR(__xludf.DUMMYFUNCTION("""COMPUTED_VALUE"""),"5 Large Zonaite")</f>
        <v>5 Large Zonaite</v>
      </c>
      <c r="V640" s="62">
        <f>IFERROR(__xludf.DUMMYFUNCTION("SPLIT(U640,"" "")"),5.0)</f>
        <v>5</v>
      </c>
      <c r="W640" s="62" t="str">
        <f>IFERROR(__xludf.DUMMYFUNCTION("""COMPUTED_VALUE"""),"Large")</f>
        <v>Large</v>
      </c>
      <c r="X640" s="62" t="str">
        <f>IFERROR(__xludf.DUMMYFUNCTION("""COMPUTED_VALUE"""),"Zonaite")</f>
        <v>Zonaite</v>
      </c>
      <c r="Y640" s="62"/>
      <c r="Z640" s="62"/>
      <c r="AA640" s="62"/>
      <c r="AB640" s="63"/>
      <c r="AC640" s="62" t="str">
        <f t="shared" si="2"/>
        <v>Large Zonaite</v>
      </c>
    </row>
    <row r="641">
      <c r="U641" s="62" t="str">
        <f>IFERROR(__xludf.DUMMYFUNCTION("""COMPUTED_VALUE"""),"5 Soldier Construct IV Horn")</f>
        <v>5 Soldier Construct IV Horn</v>
      </c>
      <c r="V641" s="62">
        <f>IFERROR(__xludf.DUMMYFUNCTION("SPLIT(U641,"" "")"),5.0)</f>
        <v>5</v>
      </c>
      <c r="W641" s="62" t="str">
        <f>IFERROR(__xludf.DUMMYFUNCTION("""COMPUTED_VALUE"""),"Soldier")</f>
        <v>Soldier</v>
      </c>
      <c r="X641" s="62" t="str">
        <f>IFERROR(__xludf.DUMMYFUNCTION("""COMPUTED_VALUE"""),"Construct")</f>
        <v>Construct</v>
      </c>
      <c r="Y641" s="62" t="str">
        <f>IFERROR(__xludf.DUMMYFUNCTION("""COMPUTED_VALUE"""),"IV")</f>
        <v>IV</v>
      </c>
      <c r="Z641" s="62" t="str">
        <f>IFERROR(__xludf.DUMMYFUNCTION("""COMPUTED_VALUE"""),"Horn")</f>
        <v>Horn</v>
      </c>
      <c r="AA641" s="62"/>
      <c r="AB641" s="63"/>
      <c r="AC641" s="62" t="str">
        <f t="shared" si="2"/>
        <v>Soldier Construct IV Horn</v>
      </c>
    </row>
    <row r="642">
      <c r="U642" s="62" t="str">
        <f>IFERROR(__xludf.DUMMYFUNCTION("""COMPUTED_VALUE"""),"5 Captain Construct III Horn")</f>
        <v>5 Captain Construct III Horn</v>
      </c>
      <c r="V642" s="62">
        <f>IFERROR(__xludf.DUMMYFUNCTION("SPLIT(U642,"" "")"),5.0)</f>
        <v>5</v>
      </c>
      <c r="W642" s="62" t="str">
        <f>IFERROR(__xludf.DUMMYFUNCTION("""COMPUTED_VALUE"""),"Captain")</f>
        <v>Captain</v>
      </c>
      <c r="X642" s="62" t="str">
        <f>IFERROR(__xludf.DUMMYFUNCTION("""COMPUTED_VALUE"""),"Construct")</f>
        <v>Construct</v>
      </c>
      <c r="Y642" s="62" t="str">
        <f>IFERROR(__xludf.DUMMYFUNCTION("""COMPUTED_VALUE"""),"III")</f>
        <v>III</v>
      </c>
      <c r="Z642" s="62" t="str">
        <f>IFERROR(__xludf.DUMMYFUNCTION("""COMPUTED_VALUE"""),"Horn")</f>
        <v>Horn</v>
      </c>
      <c r="AA642" s="62"/>
      <c r="AB642" s="63"/>
      <c r="AC642" s="62" t="str">
        <f t="shared" si="2"/>
        <v>Captain Construct III Horn</v>
      </c>
    </row>
    <row r="643">
      <c r="U643" s="62" t="str">
        <f>IFERROR(__xludf.DUMMYFUNCTION("""COMPUTED_VALUE"""),"10 Large Zonaite")</f>
        <v>10 Large Zonaite</v>
      </c>
      <c r="V643" s="62">
        <f>IFERROR(__xludf.DUMMYFUNCTION("SPLIT(U643,"" "")"),10.0)</f>
        <v>10</v>
      </c>
      <c r="W643" s="62" t="str">
        <f>IFERROR(__xludf.DUMMYFUNCTION("""COMPUTED_VALUE"""),"Large")</f>
        <v>Large</v>
      </c>
      <c r="X643" s="62" t="str">
        <f>IFERROR(__xludf.DUMMYFUNCTION("""COMPUTED_VALUE"""),"Zonaite")</f>
        <v>Zonaite</v>
      </c>
      <c r="Y643" s="62"/>
      <c r="Z643" s="62"/>
      <c r="AA643" s="62"/>
      <c r="AB643" s="63"/>
      <c r="AC643" s="62" t="str">
        <f t="shared" si="2"/>
        <v>Large Zonaite</v>
      </c>
    </row>
    <row r="644">
      <c r="U644" s="62" t="str">
        <f>IFERROR(__xludf.DUMMYFUNCTION("""COMPUTED_VALUE"""),"10 Amber")</f>
        <v>10 Amber</v>
      </c>
      <c r="V644" s="62">
        <f>IFERROR(__xludf.DUMMYFUNCTION("SPLIT(U644,"" "")"),10.0)</f>
        <v>10</v>
      </c>
      <c r="W644" s="62" t="str">
        <f>IFERROR(__xludf.DUMMYFUNCTION("""COMPUTED_VALUE"""),"Amber")</f>
        <v>Amber</v>
      </c>
      <c r="X644" s="62"/>
      <c r="Y644" s="62"/>
      <c r="Z644" s="62"/>
      <c r="AA644" s="62"/>
      <c r="AB644" s="63"/>
      <c r="AC644" s="62" t="str">
        <f t="shared" si="2"/>
        <v>Amber</v>
      </c>
    </row>
    <row r="645">
      <c r="U645" s="62" t="str">
        <f>IFERROR(__xludf.DUMMYFUNCTION("""COMPUTED_VALUE"""),"5 Flint")</f>
        <v>5 Flint</v>
      </c>
      <c r="V645" s="62">
        <f>IFERROR(__xludf.DUMMYFUNCTION("SPLIT(U645,"" "")"),5.0)</f>
        <v>5</v>
      </c>
      <c r="W645" s="62" t="str">
        <f>IFERROR(__xludf.DUMMYFUNCTION("""COMPUTED_VALUE"""),"Flint")</f>
        <v>Flint</v>
      </c>
      <c r="X645" s="62"/>
      <c r="Y645" s="62"/>
      <c r="Z645" s="62"/>
      <c r="AA645" s="62"/>
      <c r="AB645" s="63"/>
      <c r="AC645" s="62" t="str">
        <f t="shared" si="2"/>
        <v>Flint</v>
      </c>
    </row>
    <row r="646">
      <c r="U646" s="62" t="str">
        <f>IFERROR(__xludf.DUMMYFUNCTION("""COMPUTED_VALUE"""),"20 Amber")</f>
        <v>20 Amber</v>
      </c>
      <c r="V646" s="62">
        <f>IFERROR(__xludf.DUMMYFUNCTION("SPLIT(U646,"" "")"),20.0)</f>
        <v>20</v>
      </c>
      <c r="W646" s="62" t="str">
        <f>IFERROR(__xludf.DUMMYFUNCTION("""COMPUTED_VALUE"""),"Amber")</f>
        <v>Amber</v>
      </c>
      <c r="X646" s="62"/>
      <c r="Y646" s="62"/>
      <c r="Z646" s="62"/>
      <c r="AA646" s="62"/>
      <c r="AB646" s="63"/>
      <c r="AC646" s="62" t="str">
        <f t="shared" si="2"/>
        <v>Amber</v>
      </c>
    </row>
    <row r="647">
      <c r="U647" s="62" t="str">
        <f>IFERROR(__xludf.DUMMYFUNCTION("""COMPUTED_VALUE"""),"10 Flint")</f>
        <v>10 Flint</v>
      </c>
      <c r="V647" s="62">
        <f>IFERROR(__xludf.DUMMYFUNCTION("SPLIT(U647,"" "")"),10.0)</f>
        <v>10</v>
      </c>
      <c r="W647" s="62" t="str">
        <f>IFERROR(__xludf.DUMMYFUNCTION("""COMPUTED_VALUE"""),"Flint")</f>
        <v>Flint</v>
      </c>
      <c r="X647" s="62"/>
      <c r="Y647" s="62"/>
      <c r="Z647" s="62"/>
      <c r="AA647" s="62"/>
      <c r="AB647" s="63"/>
      <c r="AC647" s="62" t="str">
        <f t="shared" si="2"/>
        <v>Flint</v>
      </c>
    </row>
    <row r="648">
      <c r="U648" s="62" t="str">
        <f>IFERROR(__xludf.DUMMYFUNCTION("""COMPUTED_VALUE"""),"35 Amber")</f>
        <v>35 Amber</v>
      </c>
      <c r="V648" s="62">
        <f>IFERROR(__xludf.DUMMYFUNCTION("SPLIT(U648,"" "")"),35.0)</f>
        <v>35</v>
      </c>
      <c r="W648" s="62" t="str">
        <f>IFERROR(__xludf.DUMMYFUNCTION("""COMPUTED_VALUE"""),"Amber")</f>
        <v>Amber</v>
      </c>
      <c r="X648" s="62"/>
      <c r="Y648" s="62"/>
      <c r="Z648" s="62"/>
      <c r="AA648" s="62"/>
      <c r="AB648" s="63"/>
      <c r="AC648" s="62" t="str">
        <f t="shared" si="2"/>
        <v>Amber</v>
      </c>
    </row>
    <row r="649">
      <c r="U649" s="62" t="str">
        <f>IFERROR(__xludf.DUMMYFUNCTION("""COMPUTED_VALUE"""),"15 Flint")</f>
        <v>15 Flint</v>
      </c>
      <c r="V649" s="62">
        <f>IFERROR(__xludf.DUMMYFUNCTION("SPLIT(U649,"" "")"),15.0)</f>
        <v>15</v>
      </c>
      <c r="W649" s="62" t="str">
        <f>IFERROR(__xludf.DUMMYFUNCTION("""COMPUTED_VALUE"""),"Flint")</f>
        <v>Flint</v>
      </c>
      <c r="X649" s="62"/>
      <c r="Y649" s="62"/>
      <c r="Z649" s="62"/>
      <c r="AA649" s="62"/>
      <c r="AB649" s="63"/>
      <c r="AC649" s="62" t="str">
        <f t="shared" si="2"/>
        <v>Flint</v>
      </c>
    </row>
    <row r="650">
      <c r="U650" s="62" t="str">
        <f>IFERROR(__xludf.DUMMYFUNCTION("""COMPUTED_VALUE"""),"60 Amber")</f>
        <v>60 Amber</v>
      </c>
      <c r="V650" s="62">
        <f>IFERROR(__xludf.DUMMYFUNCTION("SPLIT(U650,"" "")"),60.0)</f>
        <v>60</v>
      </c>
      <c r="W650" s="62" t="str">
        <f>IFERROR(__xludf.DUMMYFUNCTION("""COMPUTED_VALUE"""),"Amber")</f>
        <v>Amber</v>
      </c>
      <c r="X650" s="62"/>
      <c r="Y650" s="62"/>
      <c r="Z650" s="62"/>
      <c r="AA650" s="62"/>
      <c r="AB650" s="63"/>
      <c r="AC650" s="62" t="str">
        <f t="shared" si="2"/>
        <v>Amber</v>
      </c>
    </row>
    <row r="651">
      <c r="U651" s="62" t="str">
        <f>IFERROR(__xludf.DUMMYFUNCTION("""COMPUTED_VALUE"""),"25 Flint")</f>
        <v>25 Flint</v>
      </c>
      <c r="V651" s="62">
        <f>IFERROR(__xludf.DUMMYFUNCTION("SPLIT(U651,"" "")"),25.0)</f>
        <v>25</v>
      </c>
      <c r="W651" s="62" t="str">
        <f>IFERROR(__xludf.DUMMYFUNCTION("""COMPUTED_VALUE"""),"Flint")</f>
        <v>Flint</v>
      </c>
      <c r="X651" s="62"/>
      <c r="Y651" s="62"/>
      <c r="Z651" s="62"/>
      <c r="AA651" s="62"/>
      <c r="AB651" s="63"/>
      <c r="AC651" s="62" t="str">
        <f t="shared" si="2"/>
        <v>Flint</v>
      </c>
    </row>
    <row r="652">
      <c r="U652" s="62" t="str">
        <f>IFERROR(__xludf.DUMMYFUNCTION("""COMPUTED_VALUE"""),"2 Diamond")</f>
        <v>2 Diamond</v>
      </c>
      <c r="V652" s="62">
        <f>IFERROR(__xludf.DUMMYFUNCTION("SPLIT(U652,"" "")"),2.0)</f>
        <v>2</v>
      </c>
      <c r="W652" s="62" t="str">
        <f>IFERROR(__xludf.DUMMYFUNCTION("""COMPUTED_VALUE"""),"Diamond")</f>
        <v>Diamond</v>
      </c>
      <c r="X652" s="62"/>
      <c r="Y652" s="62"/>
      <c r="Z652" s="62"/>
      <c r="AA652" s="62"/>
      <c r="AB652" s="63"/>
      <c r="AC652" s="62" t="str">
        <f t="shared" si="2"/>
        <v>Diamond</v>
      </c>
    </row>
    <row r="653">
      <c r="U653" s="62" t="str">
        <f>IFERROR(__xludf.DUMMYFUNCTION("""COMPUTED_VALUE"""),"3 Flint")</f>
        <v>3 Flint</v>
      </c>
      <c r="V653" s="62">
        <f>IFERROR(__xludf.DUMMYFUNCTION("SPLIT(U653,"" "")"),3.0)</f>
        <v>3</v>
      </c>
      <c r="W653" s="62" t="str">
        <f>IFERROR(__xludf.DUMMYFUNCTION("""COMPUTED_VALUE"""),"Flint")</f>
        <v>Flint</v>
      </c>
      <c r="X653" s="62"/>
      <c r="Y653" s="62"/>
      <c r="Z653" s="62"/>
      <c r="AA653" s="62"/>
      <c r="AB653" s="63"/>
      <c r="AC653" s="62" t="str">
        <f t="shared" si="2"/>
        <v>Flint</v>
      </c>
    </row>
    <row r="654">
      <c r="U654" s="62" t="str">
        <f>IFERROR(__xludf.DUMMYFUNCTION("""COMPUTED_VALUE"""),"3 Diamond")</f>
        <v>3 Diamond</v>
      </c>
      <c r="V654" s="62">
        <f>IFERROR(__xludf.DUMMYFUNCTION("SPLIT(U654,"" "")"),3.0)</f>
        <v>3</v>
      </c>
      <c r="W654" s="62" t="str">
        <f>IFERROR(__xludf.DUMMYFUNCTION("""COMPUTED_VALUE"""),"Diamond")</f>
        <v>Diamond</v>
      </c>
      <c r="X654" s="62"/>
      <c r="Y654" s="62"/>
      <c r="Z654" s="62"/>
      <c r="AA654" s="62"/>
      <c r="AB654" s="63"/>
      <c r="AC654" s="62" t="str">
        <f t="shared" si="2"/>
        <v>Diamond</v>
      </c>
    </row>
    <row r="655">
      <c r="U655" s="62" t="str">
        <f>IFERROR(__xludf.DUMMYFUNCTION("""COMPUTED_VALUE"""),"5 Flint")</f>
        <v>5 Flint</v>
      </c>
      <c r="V655" s="62">
        <f>IFERROR(__xludf.DUMMYFUNCTION("SPLIT(U655,"" "")"),5.0)</f>
        <v>5</v>
      </c>
      <c r="W655" s="62" t="str">
        <f>IFERROR(__xludf.DUMMYFUNCTION("""COMPUTED_VALUE"""),"Flint")</f>
        <v>Flint</v>
      </c>
      <c r="X655" s="62"/>
      <c r="Y655" s="62"/>
      <c r="Z655" s="62"/>
      <c r="AA655" s="62"/>
      <c r="AB655" s="63"/>
      <c r="AC655" s="62" t="str">
        <f t="shared" si="2"/>
        <v>Flint</v>
      </c>
    </row>
    <row r="656">
      <c r="U656" s="62" t="str">
        <f>IFERROR(__xludf.DUMMYFUNCTION("""COMPUTED_VALUE"""),"5 Diamond")</f>
        <v>5 Diamond</v>
      </c>
      <c r="V656" s="62">
        <f>IFERROR(__xludf.DUMMYFUNCTION("SPLIT(U656,"" "")"),5.0)</f>
        <v>5</v>
      </c>
      <c r="W656" s="62" t="str">
        <f>IFERROR(__xludf.DUMMYFUNCTION("""COMPUTED_VALUE"""),"Diamond")</f>
        <v>Diamond</v>
      </c>
      <c r="X656" s="62"/>
      <c r="Y656" s="62"/>
      <c r="Z656" s="62"/>
      <c r="AA656" s="62"/>
      <c r="AB656" s="63"/>
      <c r="AC656" s="62" t="str">
        <f t="shared" si="2"/>
        <v>Diamond</v>
      </c>
    </row>
    <row r="657">
      <c r="U657" s="62" t="str">
        <f>IFERROR(__xludf.DUMMYFUNCTION("""COMPUTED_VALUE"""),"1 Star Fragment")</f>
        <v>1 Star Fragment</v>
      </c>
      <c r="V657" s="62">
        <f>IFERROR(__xludf.DUMMYFUNCTION("SPLIT(U657,"" "")"),1.0)</f>
        <v>1</v>
      </c>
      <c r="W657" s="62" t="str">
        <f>IFERROR(__xludf.DUMMYFUNCTION("""COMPUTED_VALUE"""),"Star")</f>
        <v>Star</v>
      </c>
      <c r="X657" s="62" t="str">
        <f>IFERROR(__xludf.DUMMYFUNCTION("""COMPUTED_VALUE"""),"Fragment")</f>
        <v>Fragment</v>
      </c>
      <c r="Y657" s="62"/>
      <c r="Z657" s="62"/>
      <c r="AA657" s="62"/>
      <c r="AB657" s="63"/>
      <c r="AC657" s="62" t="str">
        <f t="shared" si="2"/>
        <v>Star Fragment</v>
      </c>
    </row>
    <row r="658">
      <c r="U658" s="62" t="str">
        <f>IFERROR(__xludf.DUMMYFUNCTION("""COMPUTED_VALUE"""),"8 Diamond")</f>
        <v>8 Diamond</v>
      </c>
      <c r="V658" s="62">
        <f>IFERROR(__xludf.DUMMYFUNCTION("SPLIT(U658,"" "")"),8.0)</f>
        <v>8</v>
      </c>
      <c r="W658" s="62" t="str">
        <f>IFERROR(__xludf.DUMMYFUNCTION("""COMPUTED_VALUE"""),"Diamond")</f>
        <v>Diamond</v>
      </c>
      <c r="X658" s="62"/>
      <c r="Y658" s="62"/>
      <c r="Z658" s="62"/>
      <c r="AA658" s="62"/>
      <c r="AB658" s="63"/>
      <c r="AC658" s="62" t="str">
        <f t="shared" si="2"/>
        <v>Diamond</v>
      </c>
    </row>
    <row r="659">
      <c r="U659" s="62" t="str">
        <f>IFERROR(__xludf.DUMMYFUNCTION("""COMPUTED_VALUE"""),"2 Star Fragment")</f>
        <v>2 Star Fragment</v>
      </c>
      <c r="V659" s="62">
        <f>IFERROR(__xludf.DUMMYFUNCTION("SPLIT(U659,"" "")"),2.0)</f>
        <v>2</v>
      </c>
      <c r="W659" s="62" t="str">
        <f>IFERROR(__xludf.DUMMYFUNCTION("""COMPUTED_VALUE"""),"Star")</f>
        <v>Star</v>
      </c>
      <c r="X659" s="62" t="str">
        <f>IFERROR(__xludf.DUMMYFUNCTION("""COMPUTED_VALUE"""),"Fragment")</f>
        <v>Fragment</v>
      </c>
      <c r="Y659" s="62"/>
      <c r="Z659" s="62"/>
      <c r="AA659" s="62"/>
      <c r="AB659" s="63"/>
      <c r="AC659" s="62" t="str">
        <f t="shared" si="2"/>
        <v>Star Fragment</v>
      </c>
    </row>
    <row r="660">
      <c r="U660" s="62" t="str">
        <f>IFERROR(__xludf.DUMMYFUNCTION("""COMPUTED_VALUE"""),"2 Ruby")</f>
        <v>2 Ruby</v>
      </c>
      <c r="V660" s="62">
        <f>IFERROR(__xludf.DUMMYFUNCTION("SPLIT(U660,"" "")"),2.0)</f>
        <v>2</v>
      </c>
      <c r="W660" s="62" t="str">
        <f>IFERROR(__xludf.DUMMYFUNCTION("""COMPUTED_VALUE"""),"Ruby")</f>
        <v>Ruby</v>
      </c>
      <c r="X660" s="62"/>
      <c r="Y660" s="62"/>
      <c r="Z660" s="62"/>
      <c r="AA660" s="62"/>
      <c r="AB660" s="63"/>
      <c r="AC660" s="62" t="str">
        <f t="shared" si="2"/>
        <v>Ruby</v>
      </c>
    </row>
    <row r="661">
      <c r="U661" s="62" t="str">
        <f>IFERROR(__xludf.DUMMYFUNCTION("""COMPUTED_VALUE"""),"3 Flint")</f>
        <v>3 Flint</v>
      </c>
      <c r="V661" s="62">
        <f>IFERROR(__xludf.DUMMYFUNCTION("SPLIT(U661,"" "")"),3.0)</f>
        <v>3</v>
      </c>
      <c r="W661" s="62" t="str">
        <f>IFERROR(__xludf.DUMMYFUNCTION("""COMPUTED_VALUE"""),"Flint")</f>
        <v>Flint</v>
      </c>
      <c r="X661" s="62"/>
      <c r="Y661" s="62"/>
      <c r="Z661" s="62"/>
      <c r="AA661" s="62"/>
      <c r="AB661" s="63"/>
      <c r="AC661" s="62" t="str">
        <f t="shared" si="2"/>
        <v>Flint</v>
      </c>
    </row>
    <row r="662">
      <c r="U662" s="62" t="str">
        <f>IFERROR(__xludf.DUMMYFUNCTION("""COMPUTED_VALUE"""),"4 Ruby")</f>
        <v>4 Ruby</v>
      </c>
      <c r="V662" s="62">
        <f>IFERROR(__xludf.DUMMYFUNCTION("SPLIT(U662,"" "")"),4.0)</f>
        <v>4</v>
      </c>
      <c r="W662" s="62" t="str">
        <f>IFERROR(__xludf.DUMMYFUNCTION("""COMPUTED_VALUE"""),"Ruby")</f>
        <v>Ruby</v>
      </c>
      <c r="X662" s="62"/>
      <c r="Y662" s="62"/>
      <c r="Z662" s="62"/>
      <c r="AA662" s="62"/>
      <c r="AB662" s="63"/>
      <c r="AC662" s="62" t="str">
        <f t="shared" si="2"/>
        <v>Ruby</v>
      </c>
    </row>
    <row r="663">
      <c r="U663" s="62" t="str">
        <f>IFERROR(__xludf.DUMMYFUNCTION("""COMPUTED_VALUE"""),"5 Flint")</f>
        <v>5 Flint</v>
      </c>
      <c r="V663" s="62">
        <f>IFERROR(__xludf.DUMMYFUNCTION("SPLIT(U663,"" "")"),5.0)</f>
        <v>5</v>
      </c>
      <c r="W663" s="62" t="str">
        <f>IFERROR(__xludf.DUMMYFUNCTION("""COMPUTED_VALUE"""),"Flint")</f>
        <v>Flint</v>
      </c>
      <c r="X663" s="62"/>
      <c r="Y663" s="62"/>
      <c r="Z663" s="62"/>
      <c r="AA663" s="62"/>
      <c r="AB663" s="63"/>
      <c r="AC663" s="62" t="str">
        <f t="shared" si="2"/>
        <v>Flint</v>
      </c>
    </row>
    <row r="664">
      <c r="U664" s="62" t="str">
        <f>IFERROR(__xludf.DUMMYFUNCTION("""COMPUTED_VALUE"""),"6 Ruby")</f>
        <v>6 Ruby</v>
      </c>
      <c r="V664" s="62">
        <f>IFERROR(__xludf.DUMMYFUNCTION("SPLIT(U664,"" "")"),6.0)</f>
        <v>6</v>
      </c>
      <c r="W664" s="62" t="str">
        <f>IFERROR(__xludf.DUMMYFUNCTION("""COMPUTED_VALUE"""),"Ruby")</f>
        <v>Ruby</v>
      </c>
      <c r="X664" s="62"/>
      <c r="Y664" s="62"/>
      <c r="Z664" s="62"/>
      <c r="AA664" s="62"/>
      <c r="AB664" s="63"/>
      <c r="AC664" s="62" t="str">
        <f t="shared" si="2"/>
        <v>Ruby</v>
      </c>
    </row>
    <row r="665">
      <c r="U665" s="62" t="str">
        <f>IFERROR(__xludf.DUMMYFUNCTION("""COMPUTED_VALUE"""),"1 Star Fragment")</f>
        <v>1 Star Fragment</v>
      </c>
      <c r="V665" s="62">
        <f>IFERROR(__xludf.DUMMYFUNCTION("SPLIT(U665,"" "")"),1.0)</f>
        <v>1</v>
      </c>
      <c r="W665" s="62" t="str">
        <f>IFERROR(__xludf.DUMMYFUNCTION("""COMPUTED_VALUE"""),"Star")</f>
        <v>Star</v>
      </c>
      <c r="X665" s="62" t="str">
        <f>IFERROR(__xludf.DUMMYFUNCTION("""COMPUTED_VALUE"""),"Fragment")</f>
        <v>Fragment</v>
      </c>
      <c r="Y665" s="62"/>
      <c r="Z665" s="62"/>
      <c r="AA665" s="62"/>
      <c r="AB665" s="63"/>
      <c r="AC665" s="62" t="str">
        <f t="shared" si="2"/>
        <v>Star Fragment</v>
      </c>
    </row>
    <row r="666">
      <c r="U666" s="62" t="str">
        <f>IFERROR(__xludf.DUMMYFUNCTION("""COMPUTED_VALUE"""),"10 Ruby")</f>
        <v>10 Ruby</v>
      </c>
      <c r="V666" s="62">
        <f>IFERROR(__xludf.DUMMYFUNCTION("SPLIT(U666,"" "")"),10.0)</f>
        <v>10</v>
      </c>
      <c r="W666" s="62" t="str">
        <f>IFERROR(__xludf.DUMMYFUNCTION("""COMPUTED_VALUE"""),"Ruby")</f>
        <v>Ruby</v>
      </c>
      <c r="X666" s="62"/>
      <c r="Y666" s="62"/>
      <c r="Z666" s="62"/>
      <c r="AA666" s="62"/>
      <c r="AB666" s="63"/>
      <c r="AC666" s="62" t="str">
        <f t="shared" si="2"/>
        <v>Ruby</v>
      </c>
    </row>
    <row r="667">
      <c r="U667" s="62" t="str">
        <f>IFERROR(__xludf.DUMMYFUNCTION("""COMPUTED_VALUE"""),"2 Star Fragment")</f>
        <v>2 Star Fragment</v>
      </c>
      <c r="V667" s="62">
        <f>IFERROR(__xludf.DUMMYFUNCTION("SPLIT(U667,"" "")"),2.0)</f>
        <v>2</v>
      </c>
      <c r="W667" s="62" t="str">
        <f>IFERROR(__xludf.DUMMYFUNCTION("""COMPUTED_VALUE"""),"Star")</f>
        <v>Star</v>
      </c>
      <c r="X667" s="62" t="str">
        <f>IFERROR(__xludf.DUMMYFUNCTION("""COMPUTED_VALUE"""),"Fragment")</f>
        <v>Fragment</v>
      </c>
      <c r="Y667" s="62"/>
      <c r="Z667" s="62"/>
      <c r="AA667" s="62"/>
      <c r="AB667" s="63"/>
      <c r="AC667" s="62" t="str">
        <f t="shared" si="2"/>
        <v>Star Fragment</v>
      </c>
    </row>
    <row r="668">
      <c r="U668" s="62" t="str">
        <f>IFERROR(__xludf.DUMMYFUNCTION("""COMPUTED_VALUE"""),"2 Sapphire")</f>
        <v>2 Sapphire</v>
      </c>
      <c r="V668" s="62">
        <f>IFERROR(__xludf.DUMMYFUNCTION("SPLIT(U668,"" "")"),2.0)</f>
        <v>2</v>
      </c>
      <c r="W668" s="62" t="str">
        <f>IFERROR(__xludf.DUMMYFUNCTION("""COMPUTED_VALUE"""),"Sapphire")</f>
        <v>Sapphire</v>
      </c>
      <c r="X668" s="62"/>
      <c r="Y668" s="62"/>
      <c r="Z668" s="62"/>
      <c r="AA668" s="62"/>
      <c r="AB668" s="63"/>
      <c r="AC668" s="62" t="str">
        <f t="shared" si="2"/>
        <v>Sapphire</v>
      </c>
    </row>
    <row r="669">
      <c r="U669" s="62" t="str">
        <f>IFERROR(__xludf.DUMMYFUNCTION("""COMPUTED_VALUE"""),"3 Flint")</f>
        <v>3 Flint</v>
      </c>
      <c r="V669" s="62">
        <f>IFERROR(__xludf.DUMMYFUNCTION("SPLIT(U669,"" "")"),3.0)</f>
        <v>3</v>
      </c>
      <c r="W669" s="62" t="str">
        <f>IFERROR(__xludf.DUMMYFUNCTION("""COMPUTED_VALUE"""),"Flint")</f>
        <v>Flint</v>
      </c>
      <c r="X669" s="62"/>
      <c r="Y669" s="62"/>
      <c r="Z669" s="62"/>
      <c r="AA669" s="62"/>
      <c r="AB669" s="63"/>
      <c r="AC669" s="62" t="str">
        <f t="shared" si="2"/>
        <v>Flint</v>
      </c>
    </row>
    <row r="670">
      <c r="U670" s="62" t="str">
        <f>IFERROR(__xludf.DUMMYFUNCTION("""COMPUTED_VALUE"""),"4 Sapphire")</f>
        <v>4 Sapphire</v>
      </c>
      <c r="V670" s="62">
        <f>IFERROR(__xludf.DUMMYFUNCTION("SPLIT(U670,"" "")"),4.0)</f>
        <v>4</v>
      </c>
      <c r="W670" s="62" t="str">
        <f>IFERROR(__xludf.DUMMYFUNCTION("""COMPUTED_VALUE"""),"Sapphire")</f>
        <v>Sapphire</v>
      </c>
      <c r="X670" s="62"/>
      <c r="Y670" s="62"/>
      <c r="Z670" s="62"/>
      <c r="AA670" s="62"/>
      <c r="AB670" s="63"/>
      <c r="AC670" s="62" t="str">
        <f t="shared" si="2"/>
        <v>Sapphire</v>
      </c>
    </row>
    <row r="671">
      <c r="U671" s="62" t="str">
        <f>IFERROR(__xludf.DUMMYFUNCTION("""COMPUTED_VALUE"""),"5 Flint")</f>
        <v>5 Flint</v>
      </c>
      <c r="V671" s="62">
        <f>IFERROR(__xludf.DUMMYFUNCTION("SPLIT(U671,"" "")"),5.0)</f>
        <v>5</v>
      </c>
      <c r="W671" s="62" t="str">
        <f>IFERROR(__xludf.DUMMYFUNCTION("""COMPUTED_VALUE"""),"Flint")</f>
        <v>Flint</v>
      </c>
      <c r="X671" s="62"/>
      <c r="Y671" s="62"/>
      <c r="Z671" s="62"/>
      <c r="AA671" s="62"/>
      <c r="AB671" s="63"/>
      <c r="AC671" s="62" t="str">
        <f t="shared" si="2"/>
        <v>Flint</v>
      </c>
    </row>
    <row r="672">
      <c r="U672" s="62" t="str">
        <f>IFERROR(__xludf.DUMMYFUNCTION("""COMPUTED_VALUE"""),"6 Sapphire")</f>
        <v>6 Sapphire</v>
      </c>
      <c r="V672" s="62">
        <f>IFERROR(__xludf.DUMMYFUNCTION("SPLIT(U672,"" "")"),6.0)</f>
        <v>6</v>
      </c>
      <c r="W672" s="62" t="str">
        <f>IFERROR(__xludf.DUMMYFUNCTION("""COMPUTED_VALUE"""),"Sapphire")</f>
        <v>Sapphire</v>
      </c>
      <c r="X672" s="62"/>
      <c r="Y672" s="62"/>
      <c r="Z672" s="62"/>
      <c r="AA672" s="62"/>
      <c r="AB672" s="63"/>
      <c r="AC672" s="62" t="str">
        <f t="shared" si="2"/>
        <v>Sapphire</v>
      </c>
    </row>
    <row r="673">
      <c r="U673" s="62" t="str">
        <f>IFERROR(__xludf.DUMMYFUNCTION("""COMPUTED_VALUE"""),"1 Star Fragment")</f>
        <v>1 Star Fragment</v>
      </c>
      <c r="V673" s="62">
        <f>IFERROR(__xludf.DUMMYFUNCTION("SPLIT(U673,"" "")"),1.0)</f>
        <v>1</v>
      </c>
      <c r="W673" s="62" t="str">
        <f>IFERROR(__xludf.DUMMYFUNCTION("""COMPUTED_VALUE"""),"Star")</f>
        <v>Star</v>
      </c>
      <c r="X673" s="62" t="str">
        <f>IFERROR(__xludf.DUMMYFUNCTION("""COMPUTED_VALUE"""),"Fragment")</f>
        <v>Fragment</v>
      </c>
      <c r="Y673" s="62"/>
      <c r="Z673" s="62"/>
      <c r="AA673" s="62"/>
      <c r="AB673" s="63"/>
      <c r="AC673" s="62" t="str">
        <f t="shared" si="2"/>
        <v>Star Fragment</v>
      </c>
    </row>
    <row r="674">
      <c r="U674" s="62" t="str">
        <f>IFERROR(__xludf.DUMMYFUNCTION("""COMPUTED_VALUE"""),"10 Sapphire")</f>
        <v>10 Sapphire</v>
      </c>
      <c r="V674" s="62">
        <f>IFERROR(__xludf.DUMMYFUNCTION("SPLIT(U674,"" "")"),10.0)</f>
        <v>10</v>
      </c>
      <c r="W674" s="62" t="str">
        <f>IFERROR(__xludf.DUMMYFUNCTION("""COMPUTED_VALUE"""),"Sapphire")</f>
        <v>Sapphire</v>
      </c>
      <c r="X674" s="62"/>
      <c r="Y674" s="62"/>
      <c r="Z674" s="62"/>
      <c r="AA674" s="62"/>
      <c r="AB674" s="63"/>
      <c r="AC674" s="62" t="str">
        <f t="shared" si="2"/>
        <v>Sapphire</v>
      </c>
    </row>
    <row r="675">
      <c r="U675" s="62" t="str">
        <f>IFERROR(__xludf.DUMMYFUNCTION("""COMPUTED_VALUE"""),"2 Star Fragment")</f>
        <v>2 Star Fragment</v>
      </c>
      <c r="V675" s="62">
        <f>IFERROR(__xludf.DUMMYFUNCTION("SPLIT(U675,"" "")"),2.0)</f>
        <v>2</v>
      </c>
      <c r="W675" s="62" t="str">
        <f>IFERROR(__xludf.DUMMYFUNCTION("""COMPUTED_VALUE"""),"Star")</f>
        <v>Star</v>
      </c>
      <c r="X675" s="62" t="str">
        <f>IFERROR(__xludf.DUMMYFUNCTION("""COMPUTED_VALUE"""),"Fragment")</f>
        <v>Fragment</v>
      </c>
      <c r="Y675" s="62"/>
      <c r="Z675" s="62"/>
      <c r="AA675" s="62"/>
      <c r="AB675" s="63"/>
      <c r="AC675" s="62" t="str">
        <f t="shared" si="2"/>
        <v>Star Fragment</v>
      </c>
    </row>
    <row r="676">
      <c r="U676" s="62" t="str">
        <f>IFERROR(__xludf.DUMMYFUNCTION("""COMPUTED_VALUE"""),"2 Topaz")</f>
        <v>2 Topaz</v>
      </c>
      <c r="V676" s="62">
        <f>IFERROR(__xludf.DUMMYFUNCTION("SPLIT(U676,"" "")"),2.0)</f>
        <v>2</v>
      </c>
      <c r="W676" s="62" t="str">
        <f>IFERROR(__xludf.DUMMYFUNCTION("""COMPUTED_VALUE"""),"Topaz")</f>
        <v>Topaz</v>
      </c>
      <c r="X676" s="62"/>
      <c r="Y676" s="62"/>
      <c r="Z676" s="62"/>
      <c r="AA676" s="62"/>
      <c r="AB676" s="63"/>
      <c r="AC676" s="62" t="str">
        <f t="shared" si="2"/>
        <v>Topaz</v>
      </c>
    </row>
    <row r="677">
      <c r="U677" s="62" t="str">
        <f>IFERROR(__xludf.DUMMYFUNCTION("""COMPUTED_VALUE"""),"3 Flint")</f>
        <v>3 Flint</v>
      </c>
      <c r="V677" s="62">
        <f>IFERROR(__xludf.DUMMYFUNCTION("SPLIT(U677,"" "")"),3.0)</f>
        <v>3</v>
      </c>
      <c r="W677" s="62" t="str">
        <f>IFERROR(__xludf.DUMMYFUNCTION("""COMPUTED_VALUE"""),"Flint")</f>
        <v>Flint</v>
      </c>
      <c r="X677" s="62"/>
      <c r="Y677" s="62"/>
      <c r="Z677" s="62"/>
      <c r="AA677" s="62"/>
      <c r="AB677" s="63"/>
      <c r="AC677" s="62" t="str">
        <f t="shared" si="2"/>
        <v>Flint</v>
      </c>
    </row>
    <row r="678">
      <c r="U678" s="62" t="str">
        <f>IFERROR(__xludf.DUMMYFUNCTION("""COMPUTED_VALUE"""),"4 Topaz")</f>
        <v>4 Topaz</v>
      </c>
      <c r="V678" s="62">
        <f>IFERROR(__xludf.DUMMYFUNCTION("SPLIT(U678,"" "")"),4.0)</f>
        <v>4</v>
      </c>
      <c r="W678" s="62" t="str">
        <f>IFERROR(__xludf.DUMMYFUNCTION("""COMPUTED_VALUE"""),"Topaz")</f>
        <v>Topaz</v>
      </c>
      <c r="X678" s="62"/>
      <c r="Y678" s="62"/>
      <c r="Z678" s="62"/>
      <c r="AA678" s="62"/>
      <c r="AB678" s="63"/>
      <c r="AC678" s="62" t="str">
        <f t="shared" si="2"/>
        <v>Topaz</v>
      </c>
    </row>
    <row r="679">
      <c r="U679" s="62" t="str">
        <f>IFERROR(__xludf.DUMMYFUNCTION("""COMPUTED_VALUE"""),"5 Flint")</f>
        <v>5 Flint</v>
      </c>
      <c r="V679" s="62">
        <f>IFERROR(__xludf.DUMMYFUNCTION("SPLIT(U679,"" "")"),5.0)</f>
        <v>5</v>
      </c>
      <c r="W679" s="62" t="str">
        <f>IFERROR(__xludf.DUMMYFUNCTION("""COMPUTED_VALUE"""),"Flint")</f>
        <v>Flint</v>
      </c>
      <c r="X679" s="62"/>
      <c r="Y679" s="62"/>
      <c r="Z679" s="62"/>
      <c r="AA679" s="62"/>
      <c r="AB679" s="63"/>
      <c r="AC679" s="62" t="str">
        <f t="shared" si="2"/>
        <v>Flint</v>
      </c>
    </row>
    <row r="680">
      <c r="U680" s="62" t="str">
        <f>IFERROR(__xludf.DUMMYFUNCTION("""COMPUTED_VALUE"""),"6 Topaz")</f>
        <v>6 Topaz</v>
      </c>
      <c r="V680" s="62">
        <f>IFERROR(__xludf.DUMMYFUNCTION("SPLIT(U680,"" "")"),6.0)</f>
        <v>6</v>
      </c>
      <c r="W680" s="62" t="str">
        <f>IFERROR(__xludf.DUMMYFUNCTION("""COMPUTED_VALUE"""),"Topaz")</f>
        <v>Topaz</v>
      </c>
      <c r="X680" s="62"/>
      <c r="Y680" s="62"/>
      <c r="Z680" s="62"/>
      <c r="AA680" s="62"/>
      <c r="AB680" s="63"/>
      <c r="AC680" s="62" t="str">
        <f t="shared" si="2"/>
        <v>Topaz</v>
      </c>
    </row>
    <row r="681">
      <c r="U681" s="62" t="str">
        <f>IFERROR(__xludf.DUMMYFUNCTION("""COMPUTED_VALUE"""),"1 Star Fragment")</f>
        <v>1 Star Fragment</v>
      </c>
      <c r="V681" s="62">
        <f>IFERROR(__xludf.DUMMYFUNCTION("SPLIT(U681,"" "")"),1.0)</f>
        <v>1</v>
      </c>
      <c r="W681" s="62" t="str">
        <f>IFERROR(__xludf.DUMMYFUNCTION("""COMPUTED_VALUE"""),"Star")</f>
        <v>Star</v>
      </c>
      <c r="X681" s="62" t="str">
        <f>IFERROR(__xludf.DUMMYFUNCTION("""COMPUTED_VALUE"""),"Fragment")</f>
        <v>Fragment</v>
      </c>
      <c r="Y681" s="62"/>
      <c r="Z681" s="62"/>
      <c r="AA681" s="62"/>
      <c r="AB681" s="63"/>
      <c r="AC681" s="62" t="str">
        <f t="shared" si="2"/>
        <v>Star Fragment</v>
      </c>
    </row>
    <row r="682">
      <c r="U682" s="62" t="str">
        <f>IFERROR(__xludf.DUMMYFUNCTION("""COMPUTED_VALUE"""),"10 Topaz")</f>
        <v>10 Topaz</v>
      </c>
      <c r="V682" s="62">
        <f>IFERROR(__xludf.DUMMYFUNCTION("SPLIT(U682,"" "")"),10.0)</f>
        <v>10</v>
      </c>
      <c r="W682" s="62" t="str">
        <f>IFERROR(__xludf.DUMMYFUNCTION("""COMPUTED_VALUE"""),"Topaz")</f>
        <v>Topaz</v>
      </c>
      <c r="X682" s="62"/>
      <c r="Y682" s="62"/>
      <c r="Z682" s="62"/>
      <c r="AA682" s="62"/>
      <c r="AB682" s="63"/>
      <c r="AC682" s="62" t="str">
        <f t="shared" si="2"/>
        <v>Topaz</v>
      </c>
    </row>
    <row r="683">
      <c r="U683" s="62" t="str">
        <f>IFERROR(__xludf.DUMMYFUNCTION("""COMPUTED_VALUE"""),"2 Star Fragment")</f>
        <v>2 Star Fragment</v>
      </c>
      <c r="V683" s="62">
        <f>IFERROR(__xludf.DUMMYFUNCTION("SPLIT(U683,"" "")"),2.0)</f>
        <v>2</v>
      </c>
      <c r="W683" s="62" t="str">
        <f>IFERROR(__xludf.DUMMYFUNCTION("""COMPUTED_VALUE"""),"Star")</f>
        <v>Star</v>
      </c>
      <c r="X683" s="62" t="str">
        <f>IFERROR(__xludf.DUMMYFUNCTION("""COMPUTED_VALUE"""),"Fragment")</f>
        <v>Fragment</v>
      </c>
      <c r="Y683" s="62"/>
      <c r="Z683" s="62"/>
      <c r="AA683" s="62"/>
      <c r="AB683" s="63"/>
      <c r="AC683" s="62" t="str">
        <f t="shared" si="2"/>
        <v>Star Fragment</v>
      </c>
    </row>
    <row r="684">
      <c r="U684" s="62" t="str">
        <f>IFERROR(__xludf.DUMMYFUNCTION("""COMPUTED_VALUE"""),"6 Opal")</f>
        <v>6 Opal</v>
      </c>
      <c r="V684" s="62">
        <f>IFERROR(__xludf.DUMMYFUNCTION("SPLIT(U684,"" "")"),6.0)</f>
        <v>6</v>
      </c>
      <c r="W684" s="62" t="str">
        <f>IFERROR(__xludf.DUMMYFUNCTION("""COMPUTED_VALUE"""),"Opal")</f>
        <v>Opal</v>
      </c>
      <c r="X684" s="62"/>
      <c r="Y684" s="62"/>
      <c r="Z684" s="62"/>
      <c r="AA684" s="62"/>
      <c r="AB684" s="63"/>
      <c r="AC684" s="62" t="str">
        <f t="shared" si="2"/>
        <v>Opal</v>
      </c>
    </row>
    <row r="685">
      <c r="U685" s="62" t="str">
        <f>IFERROR(__xludf.DUMMYFUNCTION("""COMPUTED_VALUE"""),"5 Flint")</f>
        <v>5 Flint</v>
      </c>
      <c r="V685" s="62">
        <f>IFERROR(__xludf.DUMMYFUNCTION("SPLIT(U685,"" "")"),5.0)</f>
        <v>5</v>
      </c>
      <c r="W685" s="62" t="str">
        <f>IFERROR(__xludf.DUMMYFUNCTION("""COMPUTED_VALUE"""),"Flint")</f>
        <v>Flint</v>
      </c>
      <c r="X685" s="62"/>
      <c r="Y685" s="62"/>
      <c r="Z685" s="62"/>
      <c r="AA685" s="62"/>
      <c r="AB685" s="63"/>
      <c r="AC685" s="62" t="str">
        <f t="shared" si="2"/>
        <v>Flint</v>
      </c>
    </row>
    <row r="686">
      <c r="U686" s="62" t="str">
        <f>IFERROR(__xludf.DUMMYFUNCTION("""COMPUTED_VALUE"""),"12 Opal")</f>
        <v>12 Opal</v>
      </c>
      <c r="V686" s="62">
        <f>IFERROR(__xludf.DUMMYFUNCTION("SPLIT(U686,"" "")"),12.0)</f>
        <v>12</v>
      </c>
      <c r="W686" s="62" t="str">
        <f>IFERROR(__xludf.DUMMYFUNCTION("""COMPUTED_VALUE"""),"Opal")</f>
        <v>Opal</v>
      </c>
      <c r="X686" s="62"/>
      <c r="Y686" s="62"/>
      <c r="Z686" s="62"/>
      <c r="AA686" s="62"/>
      <c r="AB686" s="63"/>
      <c r="AC686" s="62" t="str">
        <f t="shared" si="2"/>
        <v>Opal</v>
      </c>
    </row>
    <row r="687">
      <c r="U687" s="62" t="str">
        <f>IFERROR(__xludf.DUMMYFUNCTION("""COMPUTED_VALUE"""),"10 Flint")</f>
        <v>10 Flint</v>
      </c>
      <c r="V687" s="62">
        <f>IFERROR(__xludf.DUMMYFUNCTION("SPLIT(U687,"" "")"),10.0)</f>
        <v>10</v>
      </c>
      <c r="W687" s="62" t="str">
        <f>IFERROR(__xludf.DUMMYFUNCTION("""COMPUTED_VALUE"""),"Flint")</f>
        <v>Flint</v>
      </c>
      <c r="X687" s="62"/>
      <c r="Y687" s="62"/>
      <c r="Z687" s="62"/>
      <c r="AA687" s="62"/>
      <c r="AB687" s="63"/>
      <c r="AC687" s="62" t="str">
        <f t="shared" si="2"/>
        <v>Flint</v>
      </c>
    </row>
    <row r="688">
      <c r="U688" s="62" t="str">
        <f>IFERROR(__xludf.DUMMYFUNCTION("""COMPUTED_VALUE"""),"18 Opal")</f>
        <v>18 Opal</v>
      </c>
      <c r="V688" s="62">
        <f>IFERROR(__xludf.DUMMYFUNCTION("SPLIT(U688,"" "")"),18.0)</f>
        <v>18</v>
      </c>
      <c r="W688" s="62" t="str">
        <f>IFERROR(__xludf.DUMMYFUNCTION("""COMPUTED_VALUE"""),"Opal")</f>
        <v>Opal</v>
      </c>
      <c r="X688" s="62"/>
      <c r="Y688" s="62"/>
      <c r="Z688" s="62"/>
      <c r="AA688" s="62"/>
      <c r="AB688" s="63"/>
      <c r="AC688" s="62" t="str">
        <f t="shared" si="2"/>
        <v>Opal</v>
      </c>
    </row>
    <row r="689">
      <c r="U689" s="62" t="str">
        <f>IFERROR(__xludf.DUMMYFUNCTION("""COMPUTED_VALUE"""),"15 Flint")</f>
        <v>15 Flint</v>
      </c>
      <c r="V689" s="62">
        <f>IFERROR(__xludf.DUMMYFUNCTION("SPLIT(U689,"" "")"),15.0)</f>
        <v>15</v>
      </c>
      <c r="W689" s="62" t="str">
        <f>IFERROR(__xludf.DUMMYFUNCTION("""COMPUTED_VALUE"""),"Flint")</f>
        <v>Flint</v>
      </c>
      <c r="X689" s="62"/>
      <c r="Y689" s="62"/>
      <c r="Z689" s="62"/>
      <c r="AA689" s="62"/>
      <c r="AB689" s="63"/>
      <c r="AC689" s="62" t="str">
        <f t="shared" si="2"/>
        <v>Flint</v>
      </c>
    </row>
    <row r="690">
      <c r="U690" s="62" t="str">
        <f>IFERROR(__xludf.DUMMYFUNCTION("""COMPUTED_VALUE"""),"30 Opal")</f>
        <v>30 Opal</v>
      </c>
      <c r="V690" s="62">
        <f>IFERROR(__xludf.DUMMYFUNCTION("SPLIT(U690,"" "")"),30.0)</f>
        <v>30</v>
      </c>
      <c r="W690" s="62" t="str">
        <f>IFERROR(__xludf.DUMMYFUNCTION("""COMPUTED_VALUE"""),"Opal")</f>
        <v>Opal</v>
      </c>
      <c r="X690" s="62"/>
      <c r="Y690" s="62"/>
      <c r="Z690" s="62"/>
      <c r="AA690" s="62"/>
      <c r="AB690" s="63"/>
      <c r="AC690" s="62" t="str">
        <f t="shared" si="2"/>
        <v>Opal</v>
      </c>
    </row>
    <row r="691">
      <c r="U691" s="62" t="str">
        <f>IFERROR(__xludf.DUMMYFUNCTION("""COMPUTED_VALUE"""),"25 Flint")</f>
        <v>25 Flint</v>
      </c>
      <c r="V691" s="62">
        <f>IFERROR(__xludf.DUMMYFUNCTION("SPLIT(U691,"" "")"),25.0)</f>
        <v>25</v>
      </c>
      <c r="W691" s="62" t="str">
        <f>IFERROR(__xludf.DUMMYFUNCTION("""COMPUTED_VALUE"""),"Flint")</f>
        <v>Flint</v>
      </c>
      <c r="X691" s="62"/>
      <c r="Y691" s="62"/>
      <c r="Z691" s="62"/>
      <c r="AA691" s="62"/>
      <c r="AB691" s="63"/>
      <c r="AC691" s="62" t="str">
        <f t="shared" si="2"/>
        <v>Flint</v>
      </c>
    </row>
    <row r="692">
      <c r="U692" s="62" t="str">
        <f>IFERROR(__xludf.DUMMYFUNCTION("""COMPUTED_VALUE"""),"N/A")</f>
        <v>N/A</v>
      </c>
      <c r="V692" s="62" t="str">
        <f>IFERROR(__xludf.DUMMYFUNCTION("SPLIT(U692,"" "")"),"N/A")</f>
        <v>N/A</v>
      </c>
      <c r="W692" s="62"/>
      <c r="X692" s="62"/>
      <c r="Y692" s="62"/>
      <c r="Z692" s="62"/>
      <c r="AA692" s="62"/>
      <c r="AB692" s="63"/>
      <c r="AC692" s="62" t="str">
        <f t="shared" si="2"/>
        <v/>
      </c>
    </row>
    <row r="693">
      <c r="U693" s="62" t="str">
        <f>IFERROR(__xludf.DUMMYFUNCTION("""COMPUTED_VALUE"""),"N/A")</f>
        <v>N/A</v>
      </c>
      <c r="V693" s="62" t="str">
        <f>IFERROR(__xludf.DUMMYFUNCTION("SPLIT(U693,"" "")"),"N/A")</f>
        <v>N/A</v>
      </c>
      <c r="W693" s="62"/>
      <c r="X693" s="62"/>
      <c r="Y693" s="62"/>
      <c r="Z693" s="62"/>
      <c r="AA693" s="62"/>
      <c r="AB693" s="63"/>
      <c r="AC693" s="62" t="str">
        <f t="shared" si="2"/>
        <v/>
      </c>
    </row>
    <row r="694">
      <c r="U694" s="62" t="str">
        <f>IFERROR(__xludf.DUMMYFUNCTION("""COMPUTED_VALUE"""),"N/A")</f>
        <v>N/A</v>
      </c>
      <c r="V694" s="62" t="str">
        <f>IFERROR(__xludf.DUMMYFUNCTION("SPLIT(U694,"" "")"),"N/A")</f>
        <v>N/A</v>
      </c>
      <c r="W694" s="62"/>
      <c r="X694" s="62"/>
      <c r="Y694" s="62"/>
      <c r="Z694" s="62"/>
      <c r="AA694" s="62"/>
      <c r="AB694" s="63"/>
      <c r="AC694" s="62" t="str">
        <f t="shared" si="2"/>
        <v/>
      </c>
    </row>
    <row r="695">
      <c r="U695" s="62" t="str">
        <f>IFERROR(__xludf.DUMMYFUNCTION("""COMPUTED_VALUE"""),"N/A")</f>
        <v>N/A</v>
      </c>
      <c r="V695" s="62" t="str">
        <f>IFERROR(__xludf.DUMMYFUNCTION("SPLIT(U695,"" "")"),"N/A")</f>
        <v>N/A</v>
      </c>
      <c r="W695" s="62"/>
      <c r="X695" s="62"/>
      <c r="Y695" s="62"/>
      <c r="Z695" s="62"/>
      <c r="AA695" s="62"/>
      <c r="AB695" s="63"/>
      <c r="AC695" s="62" t="str">
        <f t="shared" si="2"/>
        <v/>
      </c>
    </row>
    <row r="696">
      <c r="U696" s="62" t="str">
        <f>IFERROR(__xludf.DUMMYFUNCTION("""COMPUTED_VALUE"""),"N/A")</f>
        <v>N/A</v>
      </c>
      <c r="V696" s="62" t="str">
        <f>IFERROR(__xludf.DUMMYFUNCTION("SPLIT(U696,"" "")"),"N/A")</f>
        <v>N/A</v>
      </c>
      <c r="W696" s="62"/>
      <c r="X696" s="62"/>
      <c r="Y696" s="62"/>
      <c r="Z696" s="62"/>
      <c r="AA696" s="62"/>
      <c r="AB696" s="63"/>
      <c r="AC696" s="62" t="str">
        <f t="shared" si="2"/>
        <v/>
      </c>
    </row>
    <row r="697">
      <c r="U697" s="62" t="str">
        <f>IFERROR(__xludf.DUMMYFUNCTION("""COMPUTED_VALUE"""),"N/A")</f>
        <v>N/A</v>
      </c>
      <c r="V697" s="62" t="str">
        <f>IFERROR(__xludf.DUMMYFUNCTION("SPLIT(U697,"" "")"),"N/A")</f>
        <v>N/A</v>
      </c>
      <c r="W697" s="62"/>
      <c r="X697" s="62"/>
      <c r="Y697" s="62"/>
      <c r="Z697" s="62"/>
      <c r="AA697" s="62"/>
      <c r="AB697" s="63"/>
      <c r="AC697" s="62" t="str">
        <f t="shared" si="2"/>
        <v/>
      </c>
    </row>
    <row r="698">
      <c r="U698" s="62" t="str">
        <f>IFERROR(__xludf.DUMMYFUNCTION("""COMPUTED_VALUE"""),"N/A")</f>
        <v>N/A</v>
      </c>
      <c r="V698" s="62" t="str">
        <f>IFERROR(__xludf.DUMMYFUNCTION("SPLIT(U698,"" "")"),"N/A")</f>
        <v>N/A</v>
      </c>
      <c r="W698" s="62"/>
      <c r="X698" s="62"/>
      <c r="Y698" s="62"/>
      <c r="Z698" s="62"/>
      <c r="AA698" s="62"/>
      <c r="AB698" s="63"/>
      <c r="AC698" s="62" t="str">
        <f t="shared" si="2"/>
        <v/>
      </c>
    </row>
    <row r="699">
      <c r="U699" s="62" t="str">
        <f>IFERROR(__xludf.DUMMYFUNCTION("""COMPUTED_VALUE"""),"N/A")</f>
        <v>N/A</v>
      </c>
      <c r="V699" s="62" t="str">
        <f>IFERROR(__xludf.DUMMYFUNCTION("SPLIT(U699,"" "")"),"N/A")</f>
        <v>N/A</v>
      </c>
      <c r="W699" s="62"/>
      <c r="X699" s="62"/>
      <c r="Y699" s="62"/>
      <c r="Z699" s="62"/>
      <c r="AA699" s="62"/>
      <c r="AB699" s="63"/>
      <c r="AC699" s="62" t="str">
        <f t="shared" si="2"/>
        <v/>
      </c>
    </row>
    <row r="700">
      <c r="U700" s="62" t="str">
        <f>IFERROR(__xludf.DUMMYFUNCTION("""COMPUTED_VALUE"""),"N/A")</f>
        <v>N/A</v>
      </c>
      <c r="V700" s="62" t="str">
        <f>IFERROR(__xludf.DUMMYFUNCTION("SPLIT(U700,"" "")"),"N/A")</f>
        <v>N/A</v>
      </c>
      <c r="W700" s="62"/>
      <c r="X700" s="62"/>
      <c r="Y700" s="62"/>
      <c r="Z700" s="62"/>
      <c r="AA700" s="62"/>
      <c r="AB700" s="63"/>
      <c r="AC700" s="62" t="str">
        <f t="shared" si="2"/>
        <v/>
      </c>
    </row>
    <row r="701">
      <c r="U701" s="62" t="str">
        <f>IFERROR(__xludf.DUMMYFUNCTION("""COMPUTED_VALUE"""),"N/A")</f>
        <v>N/A</v>
      </c>
      <c r="V701" s="62" t="str">
        <f>IFERROR(__xludf.DUMMYFUNCTION("SPLIT(U701,"" "")"),"N/A")</f>
        <v>N/A</v>
      </c>
      <c r="W701" s="62"/>
      <c r="X701" s="62"/>
      <c r="Y701" s="62"/>
      <c r="Z701" s="62"/>
      <c r="AA701" s="62"/>
      <c r="AB701" s="63"/>
      <c r="AC701" s="62" t="str">
        <f t="shared" si="2"/>
        <v/>
      </c>
    </row>
    <row r="702">
      <c r="U702" s="62" t="str">
        <f>IFERROR(__xludf.DUMMYFUNCTION("""COMPUTED_VALUE"""),"N/A")</f>
        <v>N/A</v>
      </c>
      <c r="V702" s="62" t="str">
        <f>IFERROR(__xludf.DUMMYFUNCTION("SPLIT(U702,"" "")"),"N/A")</f>
        <v>N/A</v>
      </c>
      <c r="W702" s="62"/>
      <c r="X702" s="62"/>
      <c r="Y702" s="62"/>
      <c r="Z702" s="62"/>
      <c r="AA702" s="62"/>
      <c r="AB702" s="63"/>
      <c r="AC702" s="62" t="str">
        <f t="shared" si="2"/>
        <v/>
      </c>
    </row>
    <row r="703">
      <c r="U703" s="62" t="str">
        <f>IFERROR(__xludf.DUMMYFUNCTION("""COMPUTED_VALUE"""),"N/A")</f>
        <v>N/A</v>
      </c>
      <c r="V703" s="62" t="str">
        <f>IFERROR(__xludf.DUMMYFUNCTION("SPLIT(U703,"" "")"),"N/A")</f>
        <v>N/A</v>
      </c>
      <c r="W703" s="62"/>
      <c r="X703" s="62"/>
      <c r="Y703" s="62"/>
      <c r="Z703" s="62"/>
      <c r="AA703" s="62"/>
      <c r="AB703" s="63"/>
      <c r="AC703" s="62" t="str">
        <f t="shared" si="2"/>
        <v/>
      </c>
    </row>
    <row r="704">
      <c r="U704" s="62" t="str">
        <f>IFERROR(__xludf.DUMMYFUNCTION("""COMPUTED_VALUE"""),"3 Hightail Lizard")</f>
        <v>3 Hightail Lizard</v>
      </c>
      <c r="V704" s="62">
        <f>IFERROR(__xludf.DUMMYFUNCTION("SPLIT(U704,"" "")"),3.0)</f>
        <v>3</v>
      </c>
      <c r="W704" s="62" t="str">
        <f>IFERROR(__xludf.DUMMYFUNCTION("""COMPUTED_VALUE"""),"Hightail")</f>
        <v>Hightail</v>
      </c>
      <c r="X704" s="62" t="str">
        <f>IFERROR(__xludf.DUMMYFUNCTION("""COMPUTED_VALUE"""),"Lizard")</f>
        <v>Lizard</v>
      </c>
      <c r="Y704" s="62"/>
      <c r="Z704" s="62"/>
      <c r="AA704" s="62"/>
      <c r="AB704" s="63"/>
      <c r="AC704" s="62" t="str">
        <f t="shared" si="2"/>
        <v>Hightail Lizard</v>
      </c>
    </row>
    <row r="705">
      <c r="U705" s="62" t="str">
        <f>IFERROR(__xludf.DUMMYFUNCTION("""COMPUTED_VALUE"""),"20 Gibdo Bone")</f>
        <v>20 Gibdo Bone</v>
      </c>
      <c r="V705" s="62">
        <f>IFERROR(__xludf.DUMMYFUNCTION("SPLIT(U705,"" "")"),20.0)</f>
        <v>20</v>
      </c>
      <c r="W705" s="62" t="str">
        <f>IFERROR(__xludf.DUMMYFUNCTION("""COMPUTED_VALUE"""),"Gibdo")</f>
        <v>Gibdo</v>
      </c>
      <c r="X705" s="62" t="str">
        <f>IFERROR(__xludf.DUMMYFUNCTION("""COMPUTED_VALUE"""),"Bone")</f>
        <v>Bone</v>
      </c>
      <c r="Y705" s="62"/>
      <c r="Z705" s="62"/>
      <c r="AA705" s="62"/>
      <c r="AB705" s="63"/>
      <c r="AC705" s="62" t="str">
        <f t="shared" si="2"/>
        <v>Gibdo Bone</v>
      </c>
    </row>
    <row r="706">
      <c r="U706" s="62" t="str">
        <f>IFERROR(__xludf.DUMMYFUNCTION("""COMPUTED_VALUE"""),"5 Swift Carrot")</f>
        <v>5 Swift Carrot</v>
      </c>
      <c r="V706" s="62">
        <f>IFERROR(__xludf.DUMMYFUNCTION("SPLIT(U706,"" "")"),5.0)</f>
        <v>5</v>
      </c>
      <c r="W706" s="62" t="str">
        <f>IFERROR(__xludf.DUMMYFUNCTION("""COMPUTED_VALUE"""),"Swift")</f>
        <v>Swift</v>
      </c>
      <c r="X706" s="62" t="str">
        <f>IFERROR(__xludf.DUMMYFUNCTION("""COMPUTED_VALUE"""),"Carrot")</f>
        <v>Carrot</v>
      </c>
      <c r="Y706" s="62"/>
      <c r="Z706" s="62"/>
      <c r="AA706" s="62"/>
      <c r="AB706" s="63"/>
      <c r="AC706" s="62" t="str">
        <f t="shared" si="2"/>
        <v>Swift Carrot</v>
      </c>
    </row>
    <row r="707">
      <c r="U707" s="62" t="str">
        <f>IFERROR(__xludf.DUMMYFUNCTION("""COMPUTED_VALUE"""),"5 Gibdo Guts")</f>
        <v>5 Gibdo Guts</v>
      </c>
      <c r="V707" s="62">
        <f>IFERROR(__xludf.DUMMYFUNCTION("SPLIT(U707,"" "")"),5.0)</f>
        <v>5</v>
      </c>
      <c r="W707" s="62" t="str">
        <f>IFERROR(__xludf.DUMMYFUNCTION("""COMPUTED_VALUE"""),"Gibdo")</f>
        <v>Gibdo</v>
      </c>
      <c r="X707" s="62" t="str">
        <f>IFERROR(__xludf.DUMMYFUNCTION("""COMPUTED_VALUE"""),"Guts")</f>
        <v>Guts</v>
      </c>
      <c r="Y707" s="62"/>
      <c r="Z707" s="62"/>
      <c r="AA707" s="62"/>
      <c r="AB707" s="63"/>
      <c r="AC707" s="62" t="str">
        <f t="shared" si="2"/>
        <v>Gibdo Guts</v>
      </c>
    </row>
    <row r="708">
      <c r="U708" s="62" t="str">
        <f>IFERROR(__xludf.DUMMYFUNCTION("""COMPUTED_VALUE"""),"10 Rushroom")</f>
        <v>10 Rushroom</v>
      </c>
      <c r="V708" s="62">
        <f>IFERROR(__xludf.DUMMYFUNCTION("SPLIT(U708,"" "")"),10.0)</f>
        <v>10</v>
      </c>
      <c r="W708" s="62" t="str">
        <f>IFERROR(__xludf.DUMMYFUNCTION("""COMPUTED_VALUE"""),"Rushroom")</f>
        <v>Rushroom</v>
      </c>
      <c r="X708" s="62"/>
      <c r="Y708" s="62"/>
      <c r="Z708" s="62"/>
      <c r="AA708" s="62"/>
      <c r="AB708" s="63"/>
      <c r="AC708" s="62" t="str">
        <f t="shared" si="2"/>
        <v>Rushroom</v>
      </c>
    </row>
    <row r="709">
      <c r="U709" s="62" t="str">
        <f>IFERROR(__xludf.DUMMYFUNCTION("""COMPUTED_VALUE"""),"5 Molduga Fin")</f>
        <v>5 Molduga Fin</v>
      </c>
      <c r="V709" s="62">
        <f>IFERROR(__xludf.DUMMYFUNCTION("SPLIT(U709,"" "")"),5.0)</f>
        <v>5</v>
      </c>
      <c r="W709" s="62" t="str">
        <f>IFERROR(__xludf.DUMMYFUNCTION("""COMPUTED_VALUE"""),"Molduga")</f>
        <v>Molduga</v>
      </c>
      <c r="X709" s="62" t="str">
        <f>IFERROR(__xludf.DUMMYFUNCTION("""COMPUTED_VALUE"""),"Fin")</f>
        <v>Fin</v>
      </c>
      <c r="Y709" s="62"/>
      <c r="Z709" s="62"/>
      <c r="AA709" s="62"/>
      <c r="AB709" s="63"/>
      <c r="AC709" s="62" t="str">
        <f t="shared" si="2"/>
        <v>Molduga Fin</v>
      </c>
    </row>
    <row r="710">
      <c r="U710" s="62" t="str">
        <f>IFERROR(__xludf.DUMMYFUNCTION("""COMPUTED_VALUE"""),"5 Molduga Guts")</f>
        <v>5 Molduga Guts</v>
      </c>
      <c r="V710" s="62">
        <f>IFERROR(__xludf.DUMMYFUNCTION("SPLIT(U710,"" "")"),5.0)</f>
        <v>5</v>
      </c>
      <c r="W710" s="62" t="str">
        <f>IFERROR(__xludf.DUMMYFUNCTION("""COMPUTED_VALUE"""),"Molduga")</f>
        <v>Molduga</v>
      </c>
      <c r="X710" s="62" t="str">
        <f>IFERROR(__xludf.DUMMYFUNCTION("""COMPUTED_VALUE"""),"Guts")</f>
        <v>Guts</v>
      </c>
      <c r="Y710" s="62"/>
      <c r="Z710" s="62"/>
      <c r="AA710" s="62"/>
      <c r="AB710" s="63"/>
      <c r="AC710" s="62" t="str">
        <f t="shared" si="2"/>
        <v>Molduga Guts</v>
      </c>
    </row>
    <row r="711">
      <c r="U711" s="62" t="str">
        <f>IFERROR(__xludf.DUMMYFUNCTION("""COMPUTED_VALUE"""),"10 Swift Violet")</f>
        <v>10 Swift Violet</v>
      </c>
      <c r="V711" s="62">
        <f>IFERROR(__xludf.DUMMYFUNCTION("SPLIT(U711,"" "")"),10.0)</f>
        <v>10</v>
      </c>
      <c r="W711" s="62" t="str">
        <f>IFERROR(__xludf.DUMMYFUNCTION("""COMPUTED_VALUE"""),"Swift")</f>
        <v>Swift</v>
      </c>
      <c r="X711" s="62" t="str">
        <f>IFERROR(__xludf.DUMMYFUNCTION("""COMPUTED_VALUE"""),"Violet")</f>
        <v>Violet</v>
      </c>
      <c r="Y711" s="62"/>
      <c r="Z711" s="62"/>
      <c r="AA711" s="62"/>
      <c r="AB711" s="63"/>
      <c r="AC711" s="62" t="str">
        <f t="shared" si="2"/>
        <v>Swift Violet</v>
      </c>
    </row>
    <row r="712">
      <c r="U712" s="62" t="str">
        <f>IFERROR(__xludf.DUMMYFUNCTION("""COMPUTED_VALUE"""),"5 Hearty Lizard")</f>
        <v>5 Hearty Lizard</v>
      </c>
      <c r="V712" s="62">
        <f>IFERROR(__xludf.DUMMYFUNCTION("SPLIT(U712,"" "")"),5.0)</f>
        <v>5</v>
      </c>
      <c r="W712" s="62" t="str">
        <f>IFERROR(__xludf.DUMMYFUNCTION("""COMPUTED_VALUE"""),"Hearty")</f>
        <v>Hearty</v>
      </c>
      <c r="X712" s="62" t="str">
        <f>IFERROR(__xludf.DUMMYFUNCTION("""COMPUTED_VALUE"""),"Lizard")</f>
        <v>Lizard</v>
      </c>
      <c r="Y712" s="62"/>
      <c r="Z712" s="62"/>
      <c r="AA712" s="62"/>
      <c r="AB712" s="63"/>
      <c r="AC712" s="62" t="str">
        <f t="shared" si="2"/>
        <v>Hearty Lizard</v>
      </c>
    </row>
    <row r="713">
      <c r="U713" s="62" t="str">
        <f>IFERROR(__xludf.DUMMYFUNCTION("""COMPUTED_VALUE"""),"3 Hightail Lizard")</f>
        <v>3 Hightail Lizard</v>
      </c>
      <c r="V713" s="62">
        <f>IFERROR(__xludf.DUMMYFUNCTION("SPLIT(U713,"" "")"),3.0)</f>
        <v>3</v>
      </c>
      <c r="W713" s="62" t="str">
        <f>IFERROR(__xludf.DUMMYFUNCTION("""COMPUTED_VALUE"""),"Hightail")</f>
        <v>Hightail</v>
      </c>
      <c r="X713" s="62" t="str">
        <f>IFERROR(__xludf.DUMMYFUNCTION("""COMPUTED_VALUE"""),"Lizard")</f>
        <v>Lizard</v>
      </c>
      <c r="Y713" s="62"/>
      <c r="Z713" s="62"/>
      <c r="AA713" s="62"/>
      <c r="AB713" s="63"/>
      <c r="AC713" s="62" t="str">
        <f t="shared" si="2"/>
        <v>Hightail Lizard</v>
      </c>
    </row>
    <row r="714">
      <c r="U714" s="62" t="str">
        <f>IFERROR(__xludf.DUMMYFUNCTION("""COMPUTED_VALUE"""),"5 Octorok Tentacle")</f>
        <v>5 Octorok Tentacle</v>
      </c>
      <c r="V714" s="62">
        <f>IFERROR(__xludf.DUMMYFUNCTION("SPLIT(U714,"" "")"),5.0)</f>
        <v>5</v>
      </c>
      <c r="W714" s="62" t="str">
        <f>IFERROR(__xludf.DUMMYFUNCTION("""COMPUTED_VALUE"""),"Octorok")</f>
        <v>Octorok</v>
      </c>
      <c r="X714" s="62" t="str">
        <f>IFERROR(__xludf.DUMMYFUNCTION("""COMPUTED_VALUE"""),"Tentacle")</f>
        <v>Tentacle</v>
      </c>
      <c r="Y714" s="62"/>
      <c r="Z714" s="62"/>
      <c r="AA714" s="62"/>
      <c r="AB714" s="63"/>
      <c r="AC714" s="62" t="str">
        <f t="shared" si="2"/>
        <v>Octorok Tentacle</v>
      </c>
    </row>
    <row r="715">
      <c r="U715" s="62" t="str">
        <f>IFERROR(__xludf.DUMMYFUNCTION("""COMPUTED_VALUE"""),"5 Swift Carrot")</f>
        <v>5 Swift Carrot</v>
      </c>
      <c r="V715" s="62">
        <f>IFERROR(__xludf.DUMMYFUNCTION("SPLIT(U715,"" "")"),5.0)</f>
        <v>5</v>
      </c>
      <c r="W715" s="62" t="str">
        <f>IFERROR(__xludf.DUMMYFUNCTION("""COMPUTED_VALUE"""),"Swift")</f>
        <v>Swift</v>
      </c>
      <c r="X715" s="62" t="str">
        <f>IFERROR(__xludf.DUMMYFUNCTION("""COMPUTED_VALUE"""),"Carrot")</f>
        <v>Carrot</v>
      </c>
      <c r="Y715" s="62"/>
      <c r="Z715" s="62"/>
      <c r="AA715" s="62"/>
      <c r="AB715" s="63"/>
      <c r="AC715" s="62" t="str">
        <f t="shared" si="2"/>
        <v>Swift Carrot</v>
      </c>
    </row>
    <row r="716">
      <c r="U716" s="62" t="str">
        <f>IFERROR(__xludf.DUMMYFUNCTION("""COMPUTED_VALUE"""),"5 Octo Balloon")</f>
        <v>5 Octo Balloon</v>
      </c>
      <c r="V716" s="62">
        <f>IFERROR(__xludf.DUMMYFUNCTION("SPLIT(U716,"" "")"),5.0)</f>
        <v>5</v>
      </c>
      <c r="W716" s="62" t="str">
        <f>IFERROR(__xludf.DUMMYFUNCTION("""COMPUTED_VALUE"""),"Octo")</f>
        <v>Octo</v>
      </c>
      <c r="X716" s="62" t="str">
        <f>IFERROR(__xludf.DUMMYFUNCTION("""COMPUTED_VALUE"""),"Balloon")</f>
        <v>Balloon</v>
      </c>
      <c r="Y716" s="62"/>
      <c r="Z716" s="62"/>
      <c r="AA716" s="62"/>
      <c r="AB716" s="63"/>
      <c r="AC716" s="62" t="str">
        <f t="shared" si="2"/>
        <v>Octo Balloon</v>
      </c>
    </row>
    <row r="717">
      <c r="U717" s="62" t="str">
        <f>IFERROR(__xludf.DUMMYFUNCTION("""COMPUTED_VALUE"""),"20 Rushroom")</f>
        <v>20 Rushroom</v>
      </c>
      <c r="V717" s="62">
        <f>IFERROR(__xludf.DUMMYFUNCTION("SPLIT(U717,"" "")"),20.0)</f>
        <v>20</v>
      </c>
      <c r="W717" s="62" t="str">
        <f>IFERROR(__xludf.DUMMYFUNCTION("""COMPUTED_VALUE"""),"Rushroom")</f>
        <v>Rushroom</v>
      </c>
      <c r="X717" s="62"/>
      <c r="Y717" s="62"/>
      <c r="Z717" s="62"/>
      <c r="AA717" s="62"/>
      <c r="AB717" s="63"/>
      <c r="AC717" s="62" t="str">
        <f t="shared" si="2"/>
        <v>Rushroom</v>
      </c>
    </row>
    <row r="718">
      <c r="U718" s="62" t="str">
        <f>IFERROR(__xludf.DUMMYFUNCTION("""COMPUTED_VALUE"""),"2 Naydra's Scale")</f>
        <v>2 Naydra's Scale</v>
      </c>
      <c r="V718" s="62">
        <f>IFERROR(__xludf.DUMMYFUNCTION("SPLIT(U718,"" "")"),2.0)</f>
        <v>2</v>
      </c>
      <c r="W718" s="62" t="str">
        <f>IFERROR(__xludf.DUMMYFUNCTION("""COMPUTED_VALUE"""),"Naydra's")</f>
        <v>Naydra's</v>
      </c>
      <c r="X718" s="62" t="str">
        <f>IFERROR(__xludf.DUMMYFUNCTION("""COMPUTED_VALUE"""),"Scale")</f>
        <v>Scale</v>
      </c>
      <c r="Y718" s="62"/>
      <c r="Z718" s="62"/>
      <c r="AA718" s="62"/>
      <c r="AB718" s="63"/>
      <c r="AC718" s="62" t="str">
        <f t="shared" si="2"/>
        <v>Naydra's Scale</v>
      </c>
    </row>
    <row r="719">
      <c r="U719" s="62" t="str">
        <f>IFERROR(__xludf.DUMMYFUNCTION("""COMPUTED_VALUE"""),"20 Swift Violet")</f>
        <v>20 Swift Violet</v>
      </c>
      <c r="V719" s="62">
        <f>IFERROR(__xludf.DUMMYFUNCTION("SPLIT(U719,"" "")"),20.0)</f>
        <v>20</v>
      </c>
      <c r="W719" s="62" t="str">
        <f>IFERROR(__xludf.DUMMYFUNCTION("""COMPUTED_VALUE"""),"Swift")</f>
        <v>Swift</v>
      </c>
      <c r="X719" s="62" t="str">
        <f>IFERROR(__xludf.DUMMYFUNCTION("""COMPUTED_VALUE"""),"Violet")</f>
        <v>Violet</v>
      </c>
      <c r="Y719" s="62"/>
      <c r="Z719" s="62"/>
      <c r="AA719" s="62"/>
      <c r="AB719" s="63"/>
      <c r="AC719" s="62" t="str">
        <f t="shared" si="2"/>
        <v>Swift Violet</v>
      </c>
    </row>
    <row r="720">
      <c r="U720" s="62" t="str">
        <f>IFERROR(__xludf.DUMMYFUNCTION("""COMPUTED_VALUE"""),"N/A")</f>
        <v>N/A</v>
      </c>
      <c r="V720" s="62" t="str">
        <f>IFERROR(__xludf.DUMMYFUNCTION("SPLIT(U720,"" "")"),"N/A")</f>
        <v>N/A</v>
      </c>
      <c r="W720" s="62"/>
      <c r="X720" s="62"/>
      <c r="Y720" s="62"/>
      <c r="Z720" s="62"/>
      <c r="AA720" s="62"/>
      <c r="AB720" s="63"/>
      <c r="AC720" s="62" t="str">
        <f t="shared" si="2"/>
        <v/>
      </c>
    </row>
    <row r="721">
      <c r="U721" s="62" t="str">
        <f>IFERROR(__xludf.DUMMYFUNCTION("""COMPUTED_VALUE"""),"N/A")</f>
        <v>N/A</v>
      </c>
      <c r="V721" s="62" t="str">
        <f>IFERROR(__xludf.DUMMYFUNCTION("SPLIT(U721,"" "")"),"N/A")</f>
        <v>N/A</v>
      </c>
      <c r="W721" s="62"/>
      <c r="X721" s="62"/>
      <c r="Y721" s="62"/>
      <c r="Z721" s="62"/>
      <c r="AA721" s="62"/>
      <c r="AB721" s="63"/>
      <c r="AC721" s="62" t="str">
        <f t="shared" si="2"/>
        <v/>
      </c>
    </row>
    <row r="722">
      <c r="U722" s="62" t="str">
        <f>IFERROR(__xludf.DUMMYFUNCTION("""COMPUTED_VALUE"""),"N/A")</f>
        <v>N/A</v>
      </c>
      <c r="V722" s="62" t="str">
        <f>IFERROR(__xludf.DUMMYFUNCTION("SPLIT(U722,"" "")"),"N/A")</f>
        <v>N/A</v>
      </c>
      <c r="W722" s="62"/>
      <c r="X722" s="62"/>
      <c r="Y722" s="62"/>
      <c r="Z722" s="62"/>
      <c r="AA722" s="62"/>
      <c r="AB722" s="63"/>
      <c r="AC722" s="62" t="str">
        <f t="shared" si="2"/>
        <v/>
      </c>
    </row>
    <row r="723">
      <c r="U723" s="62" t="str">
        <f>IFERROR(__xludf.DUMMYFUNCTION("""COMPUTED_VALUE"""),"N/A")</f>
        <v>N/A</v>
      </c>
      <c r="V723" s="62" t="str">
        <f>IFERROR(__xludf.DUMMYFUNCTION("SPLIT(U723,"" "")"),"N/A")</f>
        <v>N/A</v>
      </c>
      <c r="W723" s="62"/>
      <c r="X723" s="62"/>
      <c r="Y723" s="62"/>
      <c r="Z723" s="62"/>
      <c r="AA723" s="62"/>
      <c r="AB723" s="63"/>
      <c r="AC723" s="62" t="str">
        <f t="shared" si="2"/>
        <v/>
      </c>
    </row>
    <row r="724">
      <c r="U724" s="62" t="str">
        <f>IFERROR(__xludf.DUMMYFUNCTION("""COMPUTED_VALUE"""),"N/A")</f>
        <v>N/A</v>
      </c>
      <c r="V724" s="62" t="str">
        <f>IFERROR(__xludf.DUMMYFUNCTION("SPLIT(U724,"" "")"),"N/A")</f>
        <v>N/A</v>
      </c>
      <c r="W724" s="62"/>
      <c r="X724" s="62"/>
      <c r="Y724" s="62"/>
      <c r="Z724" s="62"/>
      <c r="AA724" s="62"/>
      <c r="AB724" s="63"/>
      <c r="AC724" s="62" t="str">
        <f t="shared" si="2"/>
        <v/>
      </c>
    </row>
    <row r="725">
      <c r="U725" s="62" t="str">
        <f>IFERROR(__xludf.DUMMYFUNCTION("""COMPUTED_VALUE"""),"N/A")</f>
        <v>N/A</v>
      </c>
      <c r="V725" s="62" t="str">
        <f>IFERROR(__xludf.DUMMYFUNCTION("SPLIT(U725,"" "")"),"N/A")</f>
        <v>N/A</v>
      </c>
      <c r="W725" s="62"/>
      <c r="X725" s="62"/>
      <c r="Y725" s="62"/>
      <c r="Z725" s="62"/>
      <c r="AA725" s="62"/>
      <c r="AB725" s="63"/>
      <c r="AC725" s="62" t="str">
        <f t="shared" si="2"/>
        <v/>
      </c>
    </row>
    <row r="726">
      <c r="U726" s="62" t="str">
        <f>IFERROR(__xludf.DUMMYFUNCTION("""COMPUTED_VALUE"""),"N/A")</f>
        <v>N/A</v>
      </c>
      <c r="V726" s="62" t="str">
        <f>IFERROR(__xludf.DUMMYFUNCTION("SPLIT(U726,"" "")"),"N/A")</f>
        <v>N/A</v>
      </c>
      <c r="W726" s="62"/>
      <c r="X726" s="62"/>
      <c r="Y726" s="62"/>
      <c r="Z726" s="62"/>
      <c r="AA726" s="62"/>
      <c r="AB726" s="63"/>
      <c r="AC726" s="62" t="str">
        <f t="shared" si="2"/>
        <v/>
      </c>
    </row>
    <row r="727">
      <c r="U727" s="62" t="str">
        <f>IFERROR(__xludf.DUMMYFUNCTION("""COMPUTED_VALUE"""),"N/A")</f>
        <v>N/A</v>
      </c>
      <c r="V727" s="62" t="str">
        <f>IFERROR(__xludf.DUMMYFUNCTION("SPLIT(U727,"" "")"),"N/A")</f>
        <v>N/A</v>
      </c>
      <c r="W727" s="62"/>
      <c r="X727" s="62"/>
      <c r="Y727" s="62"/>
      <c r="Z727" s="62"/>
      <c r="AA727" s="62"/>
      <c r="AB727" s="63"/>
      <c r="AC727" s="62" t="str">
        <f t="shared" si="2"/>
        <v/>
      </c>
    </row>
    <row r="728">
      <c r="U728" s="62" t="str">
        <f>IFERROR(__xludf.DUMMYFUNCTION("""COMPUTED_VALUE"""),"N/A")</f>
        <v>N/A</v>
      </c>
      <c r="V728" s="62" t="str">
        <f>IFERROR(__xludf.DUMMYFUNCTION("SPLIT(U728,"" "")"),"N/A")</f>
        <v>N/A</v>
      </c>
      <c r="W728" s="62"/>
      <c r="X728" s="62"/>
      <c r="Y728" s="62"/>
      <c r="Z728" s="62"/>
      <c r="AA728" s="62"/>
      <c r="AB728" s="63"/>
      <c r="AC728" s="62" t="str">
        <f t="shared" si="2"/>
        <v/>
      </c>
    </row>
    <row r="729">
      <c r="U729" s="62" t="str">
        <f>IFERROR(__xludf.DUMMYFUNCTION("""COMPUTED_VALUE"""),"N/A")</f>
        <v>N/A</v>
      </c>
      <c r="V729" s="62" t="str">
        <f>IFERROR(__xludf.DUMMYFUNCTION("SPLIT(U729,"" "")"),"N/A")</f>
        <v>N/A</v>
      </c>
      <c r="W729" s="62"/>
      <c r="X729" s="62"/>
      <c r="Y729" s="62"/>
      <c r="Z729" s="62"/>
      <c r="AA729" s="62"/>
      <c r="AB729" s="63"/>
      <c r="AC729" s="62" t="str">
        <f t="shared" si="2"/>
        <v/>
      </c>
    </row>
    <row r="730">
      <c r="U730" s="62" t="str">
        <f>IFERROR(__xludf.DUMMYFUNCTION("""COMPUTED_VALUE"""),"N/A")</f>
        <v>N/A</v>
      </c>
      <c r="V730" s="62" t="str">
        <f>IFERROR(__xludf.DUMMYFUNCTION("SPLIT(U730,"" "")"),"N/A")</f>
        <v>N/A</v>
      </c>
      <c r="W730" s="62"/>
      <c r="X730" s="62"/>
      <c r="Y730" s="62"/>
      <c r="Z730" s="62"/>
      <c r="AA730" s="62"/>
      <c r="AB730" s="63"/>
      <c r="AC730" s="62" t="str">
        <f t="shared" si="2"/>
        <v/>
      </c>
    </row>
    <row r="731">
      <c r="U731" s="62" t="str">
        <f>IFERROR(__xludf.DUMMYFUNCTION("""COMPUTED_VALUE"""),"N/A")</f>
        <v>N/A</v>
      </c>
      <c r="V731" s="62" t="str">
        <f>IFERROR(__xludf.DUMMYFUNCTION("SPLIT(U731,"" "")"),"N/A")</f>
        <v>N/A</v>
      </c>
      <c r="W731" s="62"/>
      <c r="X731" s="62"/>
      <c r="Y731" s="62"/>
      <c r="Z731" s="62"/>
      <c r="AA731" s="62"/>
      <c r="AB731" s="63"/>
      <c r="AC731" s="62" t="str">
        <f t="shared" si="2"/>
        <v/>
      </c>
    </row>
    <row r="732">
      <c r="U732" s="62" t="str">
        <f>IFERROR(__xludf.DUMMYFUNCTION("""COMPUTED_VALUE"""),"N/A")</f>
        <v>N/A</v>
      </c>
      <c r="V732" s="62" t="str">
        <f>IFERROR(__xludf.DUMMYFUNCTION("SPLIT(U732,"" "")"),"N/A")</f>
        <v>N/A</v>
      </c>
      <c r="W732" s="62"/>
      <c r="X732" s="62"/>
      <c r="Y732" s="62"/>
      <c r="Z732" s="62"/>
      <c r="AA732" s="62"/>
      <c r="AB732" s="63"/>
      <c r="AC732" s="62" t="str">
        <f t="shared" si="2"/>
        <v/>
      </c>
    </row>
    <row r="733">
      <c r="U733" s="62" t="str">
        <f>IFERROR(__xludf.DUMMYFUNCTION("""COMPUTED_VALUE"""),"N/A")</f>
        <v>N/A</v>
      </c>
      <c r="V733" s="62" t="str">
        <f>IFERROR(__xludf.DUMMYFUNCTION("SPLIT(U733,"" "")"),"N/A")</f>
        <v>N/A</v>
      </c>
      <c r="W733" s="62"/>
      <c r="X733" s="62"/>
      <c r="Y733" s="62"/>
      <c r="Z733" s="62"/>
      <c r="AA733" s="62"/>
      <c r="AB733" s="63"/>
      <c r="AC733" s="62" t="str">
        <f t="shared" si="2"/>
        <v/>
      </c>
    </row>
    <row r="734">
      <c r="U734" s="62" t="str">
        <f>IFERROR(__xludf.DUMMYFUNCTION("""COMPUTED_VALUE"""),"N/A")</f>
        <v>N/A</v>
      </c>
      <c r="V734" s="62" t="str">
        <f>IFERROR(__xludf.DUMMYFUNCTION("SPLIT(U734,"" "")"),"N/A")</f>
        <v>N/A</v>
      </c>
      <c r="W734" s="62"/>
      <c r="X734" s="62"/>
      <c r="Y734" s="62"/>
      <c r="Z734" s="62"/>
      <c r="AA734" s="62"/>
      <c r="AB734" s="63"/>
      <c r="AC734" s="62" t="str">
        <f t="shared" si="2"/>
        <v/>
      </c>
    </row>
    <row r="735">
      <c r="U735" s="62" t="str">
        <f>IFERROR(__xludf.DUMMYFUNCTION("""COMPUTED_VALUE"""),"N/A")</f>
        <v>N/A</v>
      </c>
      <c r="V735" s="62" t="str">
        <f>IFERROR(__xludf.DUMMYFUNCTION("SPLIT(U735,"" "")"),"N/A")</f>
        <v>N/A</v>
      </c>
      <c r="W735" s="62"/>
      <c r="X735" s="62"/>
      <c r="Y735" s="62"/>
      <c r="Z735" s="62"/>
      <c r="AA735" s="62"/>
      <c r="AB735" s="63"/>
      <c r="AC735" s="62" t="str">
        <f t="shared" si="2"/>
        <v/>
      </c>
    </row>
    <row r="736">
      <c r="U736" s="62" t="str">
        <f>IFERROR(__xludf.DUMMYFUNCTION("""COMPUTED_VALUE"""),"N/A")</f>
        <v>N/A</v>
      </c>
      <c r="V736" s="62" t="str">
        <f>IFERROR(__xludf.DUMMYFUNCTION("SPLIT(U736,"" "")"),"N/A")</f>
        <v>N/A</v>
      </c>
      <c r="W736" s="62"/>
      <c r="X736" s="62"/>
      <c r="Y736" s="62"/>
      <c r="Z736" s="62"/>
      <c r="AA736" s="62"/>
      <c r="AB736" s="63"/>
      <c r="AC736" s="62" t="str">
        <f t="shared" si="2"/>
        <v/>
      </c>
    </row>
    <row r="737">
      <c r="U737" s="62" t="str">
        <f>IFERROR(__xludf.DUMMYFUNCTION("""COMPUTED_VALUE"""),"N/A")</f>
        <v>N/A</v>
      </c>
      <c r="V737" s="62" t="str">
        <f>IFERROR(__xludf.DUMMYFUNCTION("SPLIT(U737,"" "")"),"N/A")</f>
        <v>N/A</v>
      </c>
      <c r="W737" s="62"/>
      <c r="X737" s="62"/>
      <c r="Y737" s="62"/>
      <c r="Z737" s="62"/>
      <c r="AA737" s="62"/>
      <c r="AB737" s="63"/>
      <c r="AC737" s="62" t="str">
        <f t="shared" si="2"/>
        <v/>
      </c>
    </row>
    <row r="738">
      <c r="U738" s="62" t="str">
        <f>IFERROR(__xludf.DUMMYFUNCTION("""COMPUTED_VALUE"""),"N/A")</f>
        <v>N/A</v>
      </c>
      <c r="V738" s="62" t="str">
        <f>IFERROR(__xludf.DUMMYFUNCTION("SPLIT(U738,"" "")"),"N/A")</f>
        <v>N/A</v>
      </c>
      <c r="W738" s="62"/>
      <c r="X738" s="62"/>
      <c r="Y738" s="62"/>
      <c r="Z738" s="62"/>
      <c r="AA738" s="62"/>
      <c r="AB738" s="63"/>
      <c r="AC738" s="62" t="str">
        <f t="shared" si="2"/>
        <v/>
      </c>
    </row>
    <row r="739">
      <c r="U739" s="62" t="str">
        <f>IFERROR(__xludf.DUMMYFUNCTION("""COMPUTED_VALUE"""),"N/A")</f>
        <v>N/A</v>
      </c>
      <c r="V739" s="62" t="str">
        <f>IFERROR(__xludf.DUMMYFUNCTION("SPLIT(U739,"" "")"),"N/A")</f>
        <v>N/A</v>
      </c>
      <c r="W739" s="62"/>
      <c r="X739" s="62"/>
      <c r="Y739" s="62"/>
      <c r="Z739" s="62"/>
      <c r="AA739" s="62"/>
      <c r="AB739" s="63"/>
      <c r="AC739" s="62" t="str">
        <f t="shared" si="2"/>
        <v/>
      </c>
    </row>
    <row r="740">
      <c r="U740" s="62" t="str">
        <f>IFERROR(__xludf.DUMMYFUNCTION("""COMPUTED_VALUE"""),"3 Silent Princess")</f>
        <v>3 Silent Princess</v>
      </c>
      <c r="V740" s="62">
        <f>IFERROR(__xludf.DUMMYFUNCTION("SPLIT(U740,"" "")"),3.0)</f>
        <v>3</v>
      </c>
      <c r="W740" s="62" t="str">
        <f>IFERROR(__xludf.DUMMYFUNCTION("""COMPUTED_VALUE"""),"Silent")</f>
        <v>Silent</v>
      </c>
      <c r="X740" s="62" t="str">
        <f>IFERROR(__xludf.DUMMYFUNCTION("""COMPUTED_VALUE"""),"Princess")</f>
        <v>Princess</v>
      </c>
      <c r="Y740" s="62"/>
      <c r="Z740" s="62"/>
      <c r="AA740" s="62"/>
      <c r="AB740" s="63"/>
      <c r="AC740" s="62" t="str">
        <f t="shared" si="2"/>
        <v>Silent Princess</v>
      </c>
    </row>
    <row r="741">
      <c r="U741" s="62" t="str">
        <f>IFERROR(__xludf.DUMMYFUNCTION("""COMPUTED_VALUE"""),"1 Light Dragon's Scale")</f>
        <v>1 Light Dragon's Scale</v>
      </c>
      <c r="V741" s="62">
        <f>IFERROR(__xludf.DUMMYFUNCTION("SPLIT(U741,"" "")"),1.0)</f>
        <v>1</v>
      </c>
      <c r="W741" s="62" t="str">
        <f>IFERROR(__xludf.DUMMYFUNCTION("""COMPUTED_VALUE"""),"Light")</f>
        <v>Light</v>
      </c>
      <c r="X741" s="62" t="str">
        <f>IFERROR(__xludf.DUMMYFUNCTION("""COMPUTED_VALUE"""),"Dragon's")</f>
        <v>Dragon's</v>
      </c>
      <c r="Y741" s="62" t="str">
        <f>IFERROR(__xludf.DUMMYFUNCTION("""COMPUTED_VALUE"""),"Scale")</f>
        <v>Scale</v>
      </c>
      <c r="Z741" s="62"/>
      <c r="AA741" s="62"/>
      <c r="AB741" s="63"/>
      <c r="AC741" s="62" t="str">
        <f t="shared" si="2"/>
        <v>Light Dragon's Scale</v>
      </c>
    </row>
    <row r="742">
      <c r="U742" s="62" t="str">
        <f>IFERROR(__xludf.DUMMYFUNCTION("""COMPUTED_VALUE"""),"3 Silent Princess")</f>
        <v>3 Silent Princess</v>
      </c>
      <c r="V742" s="62">
        <f>IFERROR(__xludf.DUMMYFUNCTION("SPLIT(U742,"" "")"),3.0)</f>
        <v>3</v>
      </c>
      <c r="W742" s="62" t="str">
        <f>IFERROR(__xludf.DUMMYFUNCTION("""COMPUTED_VALUE"""),"Silent")</f>
        <v>Silent</v>
      </c>
      <c r="X742" s="62" t="str">
        <f>IFERROR(__xludf.DUMMYFUNCTION("""COMPUTED_VALUE"""),"Princess")</f>
        <v>Princess</v>
      </c>
      <c r="Y742" s="62"/>
      <c r="Z742" s="62"/>
      <c r="AA742" s="62"/>
      <c r="AB742" s="63"/>
      <c r="AC742" s="62" t="str">
        <f t="shared" si="2"/>
        <v>Silent Princess</v>
      </c>
    </row>
    <row r="743">
      <c r="U743" s="62" t="str">
        <f>IFERROR(__xludf.DUMMYFUNCTION("""COMPUTED_VALUE"""),"1 Light Dragon's Talon")</f>
        <v>1 Light Dragon's Talon</v>
      </c>
      <c r="V743" s="62">
        <f>IFERROR(__xludf.DUMMYFUNCTION("SPLIT(U743,"" "")"),1.0)</f>
        <v>1</v>
      </c>
      <c r="W743" s="62" t="str">
        <f>IFERROR(__xludf.DUMMYFUNCTION("""COMPUTED_VALUE"""),"Light")</f>
        <v>Light</v>
      </c>
      <c r="X743" s="62" t="str">
        <f>IFERROR(__xludf.DUMMYFUNCTION("""COMPUTED_VALUE"""),"Dragon's")</f>
        <v>Dragon's</v>
      </c>
      <c r="Y743" s="62" t="str">
        <f>IFERROR(__xludf.DUMMYFUNCTION("""COMPUTED_VALUE"""),"Talon")</f>
        <v>Talon</v>
      </c>
      <c r="Z743" s="62"/>
      <c r="AA743" s="62"/>
      <c r="AB743" s="63"/>
      <c r="AC743" s="62" t="str">
        <f t="shared" si="2"/>
        <v>Light Dragon's Talon</v>
      </c>
    </row>
    <row r="744">
      <c r="U744" s="62" t="str">
        <f>IFERROR(__xludf.DUMMYFUNCTION("""COMPUTED_VALUE"""),"2 Farosh's Horn")</f>
        <v>2 Farosh's Horn</v>
      </c>
      <c r="V744" s="62">
        <f>IFERROR(__xludf.DUMMYFUNCTION("SPLIT(U744,"" "")"),2.0)</f>
        <v>2</v>
      </c>
      <c r="W744" s="62" t="str">
        <f>IFERROR(__xludf.DUMMYFUNCTION("""COMPUTED_VALUE"""),"Farosh's")</f>
        <v>Farosh's</v>
      </c>
      <c r="X744" s="62" t="str">
        <f>IFERROR(__xludf.DUMMYFUNCTION("""COMPUTED_VALUE"""),"Horn")</f>
        <v>Horn</v>
      </c>
      <c r="Y744" s="62"/>
      <c r="Z744" s="62"/>
      <c r="AA744" s="62"/>
      <c r="AB744" s="63"/>
      <c r="AC744" s="62" t="str">
        <f t="shared" si="2"/>
        <v>Farosh's Horn</v>
      </c>
    </row>
    <row r="745">
      <c r="U745" s="62" t="str">
        <f>IFERROR(__xludf.DUMMYFUNCTION("""COMPUTED_VALUE"""),"5 Silent Princess")</f>
        <v>5 Silent Princess</v>
      </c>
      <c r="V745" s="62">
        <f>IFERROR(__xludf.DUMMYFUNCTION("SPLIT(U745,"" "")"),5.0)</f>
        <v>5</v>
      </c>
      <c r="W745" s="62" t="str">
        <f>IFERROR(__xludf.DUMMYFUNCTION("""COMPUTED_VALUE"""),"Silent")</f>
        <v>Silent</v>
      </c>
      <c r="X745" s="62" t="str">
        <f>IFERROR(__xludf.DUMMYFUNCTION("""COMPUTED_VALUE"""),"Princess")</f>
        <v>Princess</v>
      </c>
      <c r="Y745" s="62"/>
      <c r="Z745" s="62"/>
      <c r="AA745" s="62"/>
      <c r="AB745" s="63"/>
      <c r="AC745" s="62" t="str">
        <f t="shared" si="2"/>
        <v>Silent Princess</v>
      </c>
    </row>
    <row r="746">
      <c r="U746" s="62" t="str">
        <f>IFERROR(__xludf.DUMMYFUNCTION("""COMPUTED_VALUE"""),"1 Shard of Light Dragon's Fang")</f>
        <v>1 Shard of Light Dragon's Fang</v>
      </c>
      <c r="V746" s="62">
        <f>IFERROR(__xludf.DUMMYFUNCTION("SPLIT(U746,"" "")"),1.0)</f>
        <v>1</v>
      </c>
      <c r="W746" s="62" t="str">
        <f>IFERROR(__xludf.DUMMYFUNCTION("""COMPUTED_VALUE"""),"Shard")</f>
        <v>Shard</v>
      </c>
      <c r="X746" s="62" t="str">
        <f>IFERROR(__xludf.DUMMYFUNCTION("""COMPUTED_VALUE"""),"of")</f>
        <v>of</v>
      </c>
      <c r="Y746" s="62" t="str">
        <f>IFERROR(__xludf.DUMMYFUNCTION("""COMPUTED_VALUE"""),"Light")</f>
        <v>Light</v>
      </c>
      <c r="Z746" s="62" t="str">
        <f>IFERROR(__xludf.DUMMYFUNCTION("""COMPUTED_VALUE"""),"Dragon's")</f>
        <v>Dragon's</v>
      </c>
      <c r="AA746" s="62" t="str">
        <f>IFERROR(__xludf.DUMMYFUNCTION("""COMPUTED_VALUE"""),"Fang")</f>
        <v>Fang</v>
      </c>
      <c r="AB746" s="63"/>
      <c r="AC746" s="62" t="str">
        <f t="shared" si="2"/>
        <v>Shard of Light Dragon's Fang</v>
      </c>
    </row>
    <row r="747">
      <c r="U747" s="62" t="str">
        <f>IFERROR(__xludf.DUMMYFUNCTION("""COMPUTED_VALUE"""),"2 Naydra's Horn")</f>
        <v>2 Naydra's Horn</v>
      </c>
      <c r="V747" s="62">
        <f>IFERROR(__xludf.DUMMYFUNCTION("SPLIT(U747,"" "")"),2.0)</f>
        <v>2</v>
      </c>
      <c r="W747" s="62" t="str">
        <f>IFERROR(__xludf.DUMMYFUNCTION("""COMPUTED_VALUE"""),"Naydra's")</f>
        <v>Naydra's</v>
      </c>
      <c r="X747" s="62" t="str">
        <f>IFERROR(__xludf.DUMMYFUNCTION("""COMPUTED_VALUE"""),"Horn")</f>
        <v>Horn</v>
      </c>
      <c r="Y747" s="62"/>
      <c r="Z747" s="62"/>
      <c r="AA747" s="62"/>
      <c r="AB747" s="63"/>
      <c r="AC747" s="62" t="str">
        <f t="shared" si="2"/>
        <v>Naydra's Horn</v>
      </c>
    </row>
    <row r="748">
      <c r="U748" s="62" t="str">
        <f>IFERROR(__xludf.DUMMYFUNCTION("""COMPUTED_VALUE"""),"10 Silent Princess")</f>
        <v>10 Silent Princess</v>
      </c>
      <c r="V748" s="62">
        <f>IFERROR(__xludf.DUMMYFUNCTION("SPLIT(U748,"" "")"),10.0)</f>
        <v>10</v>
      </c>
      <c r="W748" s="62" t="str">
        <f>IFERROR(__xludf.DUMMYFUNCTION("""COMPUTED_VALUE"""),"Silent")</f>
        <v>Silent</v>
      </c>
      <c r="X748" s="62" t="str">
        <f>IFERROR(__xludf.DUMMYFUNCTION("""COMPUTED_VALUE"""),"Princess")</f>
        <v>Princess</v>
      </c>
      <c r="Y748" s="62"/>
      <c r="Z748" s="62"/>
      <c r="AA748" s="62"/>
      <c r="AB748" s="63"/>
      <c r="AC748" s="62" t="str">
        <f t="shared" si="2"/>
        <v>Silent Princess</v>
      </c>
    </row>
    <row r="749">
      <c r="U749" s="62" t="str">
        <f>IFERROR(__xludf.DUMMYFUNCTION("""COMPUTED_VALUE"""),"1 Light Dragon's Horn")</f>
        <v>1 Light Dragon's Horn</v>
      </c>
      <c r="V749" s="62">
        <f>IFERROR(__xludf.DUMMYFUNCTION("SPLIT(U749,"" "")"),1.0)</f>
        <v>1</v>
      </c>
      <c r="W749" s="62" t="str">
        <f>IFERROR(__xludf.DUMMYFUNCTION("""COMPUTED_VALUE"""),"Light")</f>
        <v>Light</v>
      </c>
      <c r="X749" s="62" t="str">
        <f>IFERROR(__xludf.DUMMYFUNCTION("""COMPUTED_VALUE"""),"Dragon's")</f>
        <v>Dragon's</v>
      </c>
      <c r="Y749" s="62" t="str">
        <f>IFERROR(__xludf.DUMMYFUNCTION("""COMPUTED_VALUE"""),"Horn")</f>
        <v>Horn</v>
      </c>
      <c r="Z749" s="62"/>
      <c r="AA749" s="62"/>
      <c r="AB749" s="63"/>
      <c r="AC749" s="62" t="str">
        <f t="shared" si="2"/>
        <v>Light Dragon's Horn</v>
      </c>
    </row>
    <row r="750">
      <c r="U750" s="62" t="str">
        <f>IFERROR(__xludf.DUMMYFUNCTION("""COMPUTED_VALUE"""),"2 Dinraal's Horn")</f>
        <v>2 Dinraal's Horn</v>
      </c>
      <c r="V750" s="62">
        <f>IFERROR(__xludf.DUMMYFUNCTION("SPLIT(U750,"" "")"),2.0)</f>
        <v>2</v>
      </c>
      <c r="W750" s="62" t="str">
        <f>IFERROR(__xludf.DUMMYFUNCTION("""COMPUTED_VALUE"""),"Dinraal's")</f>
        <v>Dinraal's</v>
      </c>
      <c r="X750" s="62" t="str">
        <f>IFERROR(__xludf.DUMMYFUNCTION("""COMPUTED_VALUE"""),"Horn")</f>
        <v>Horn</v>
      </c>
      <c r="Y750" s="62"/>
      <c r="Z750" s="62"/>
      <c r="AA750" s="62"/>
      <c r="AB750" s="63"/>
      <c r="AC750" s="62" t="str">
        <f t="shared" si="2"/>
        <v>Dinraal's Horn</v>
      </c>
    </row>
    <row r="751">
      <c r="U751" s="62" t="str">
        <f>IFERROR(__xludf.DUMMYFUNCTION("""COMPUTED_VALUE"""),"3 Silent Princess")</f>
        <v>3 Silent Princess</v>
      </c>
      <c r="V751" s="62">
        <f>IFERROR(__xludf.DUMMYFUNCTION("SPLIT(U751,"" "")"),3.0)</f>
        <v>3</v>
      </c>
      <c r="W751" s="62" t="str">
        <f>IFERROR(__xludf.DUMMYFUNCTION("""COMPUTED_VALUE"""),"Silent")</f>
        <v>Silent</v>
      </c>
      <c r="X751" s="62" t="str">
        <f>IFERROR(__xludf.DUMMYFUNCTION("""COMPUTED_VALUE"""),"Princess")</f>
        <v>Princess</v>
      </c>
      <c r="Y751" s="62"/>
      <c r="Z751" s="62"/>
      <c r="AA751" s="62"/>
      <c r="AB751" s="63"/>
      <c r="AC751" s="62" t="str">
        <f t="shared" si="2"/>
        <v>Silent Princess</v>
      </c>
    </row>
    <row r="752">
      <c r="U752" s="62" t="str">
        <f>IFERROR(__xludf.DUMMYFUNCTION("""COMPUTED_VALUE"""),"2 Light Dragon's Scale")</f>
        <v>2 Light Dragon's Scale</v>
      </c>
      <c r="V752" s="62">
        <f>IFERROR(__xludf.DUMMYFUNCTION("SPLIT(U752,"" "")"),2.0)</f>
        <v>2</v>
      </c>
      <c r="W752" s="62" t="str">
        <f>IFERROR(__xludf.DUMMYFUNCTION("""COMPUTED_VALUE"""),"Light")</f>
        <v>Light</v>
      </c>
      <c r="X752" s="62" t="str">
        <f>IFERROR(__xludf.DUMMYFUNCTION("""COMPUTED_VALUE"""),"Dragon's")</f>
        <v>Dragon's</v>
      </c>
      <c r="Y752" s="62" t="str">
        <f>IFERROR(__xludf.DUMMYFUNCTION("""COMPUTED_VALUE"""),"Scale")</f>
        <v>Scale</v>
      </c>
      <c r="Z752" s="62"/>
      <c r="AA752" s="62"/>
      <c r="AB752" s="63"/>
      <c r="AC752" s="62" t="str">
        <f t="shared" si="2"/>
        <v>Light Dragon's Scale</v>
      </c>
    </row>
    <row r="753">
      <c r="U753" s="62" t="str">
        <f>IFERROR(__xludf.DUMMYFUNCTION("""COMPUTED_VALUE"""),"3 Silent Princess")</f>
        <v>3 Silent Princess</v>
      </c>
      <c r="V753" s="62">
        <f>IFERROR(__xludf.DUMMYFUNCTION("SPLIT(U753,"" "")"),3.0)</f>
        <v>3</v>
      </c>
      <c r="W753" s="62" t="str">
        <f>IFERROR(__xludf.DUMMYFUNCTION("""COMPUTED_VALUE"""),"Silent")</f>
        <v>Silent</v>
      </c>
      <c r="X753" s="62" t="str">
        <f>IFERROR(__xludf.DUMMYFUNCTION("""COMPUTED_VALUE"""),"Princess")</f>
        <v>Princess</v>
      </c>
      <c r="Y753" s="62"/>
      <c r="Z753" s="62"/>
      <c r="AA753" s="62"/>
      <c r="AB753" s="63"/>
      <c r="AC753" s="62" t="str">
        <f t="shared" si="2"/>
        <v>Silent Princess</v>
      </c>
    </row>
    <row r="754">
      <c r="U754" s="62" t="str">
        <f>IFERROR(__xludf.DUMMYFUNCTION("""COMPUTED_VALUE"""),"2 Light Dragon's Talon")</f>
        <v>2 Light Dragon's Talon</v>
      </c>
      <c r="V754" s="62">
        <f>IFERROR(__xludf.DUMMYFUNCTION("SPLIT(U754,"" "")"),2.0)</f>
        <v>2</v>
      </c>
      <c r="W754" s="62" t="str">
        <f>IFERROR(__xludf.DUMMYFUNCTION("""COMPUTED_VALUE"""),"Light")</f>
        <v>Light</v>
      </c>
      <c r="X754" s="62" t="str">
        <f>IFERROR(__xludf.DUMMYFUNCTION("""COMPUTED_VALUE"""),"Dragon's")</f>
        <v>Dragon's</v>
      </c>
      <c r="Y754" s="62" t="str">
        <f>IFERROR(__xludf.DUMMYFUNCTION("""COMPUTED_VALUE"""),"Talon")</f>
        <v>Talon</v>
      </c>
      <c r="Z754" s="62"/>
      <c r="AA754" s="62"/>
      <c r="AB754" s="63"/>
      <c r="AC754" s="62" t="str">
        <f t="shared" si="2"/>
        <v>Light Dragon's Talon</v>
      </c>
    </row>
    <row r="755">
      <c r="U755" s="62" t="str">
        <f>IFERROR(__xludf.DUMMYFUNCTION("""COMPUTED_VALUE"""),"10 Sundelion")</f>
        <v>10 Sundelion</v>
      </c>
      <c r="V755" s="62">
        <f>IFERROR(__xludf.DUMMYFUNCTION("SPLIT(U755,"" "")"),10.0)</f>
        <v>10</v>
      </c>
      <c r="W755" s="62" t="str">
        <f>IFERROR(__xludf.DUMMYFUNCTION("""COMPUTED_VALUE"""),"Sundelion")</f>
        <v>Sundelion</v>
      </c>
      <c r="X755" s="62"/>
      <c r="Y755" s="62"/>
      <c r="Z755" s="62"/>
      <c r="AA755" s="62"/>
      <c r="AB755" s="63"/>
      <c r="AC755" s="62" t="str">
        <f t="shared" si="2"/>
        <v>Sundelion</v>
      </c>
    </row>
    <row r="756">
      <c r="U756" s="62" t="str">
        <f>IFERROR(__xludf.DUMMYFUNCTION("""COMPUTED_VALUE"""),"5 Silent Princess")</f>
        <v>5 Silent Princess</v>
      </c>
      <c r="V756" s="62">
        <f>IFERROR(__xludf.DUMMYFUNCTION("SPLIT(U756,"" "")"),5.0)</f>
        <v>5</v>
      </c>
      <c r="W756" s="62" t="str">
        <f>IFERROR(__xludf.DUMMYFUNCTION("""COMPUTED_VALUE"""),"Silent")</f>
        <v>Silent</v>
      </c>
      <c r="X756" s="62" t="str">
        <f>IFERROR(__xludf.DUMMYFUNCTION("""COMPUTED_VALUE"""),"Princess")</f>
        <v>Princess</v>
      </c>
      <c r="Y756" s="62"/>
      <c r="Z756" s="62"/>
      <c r="AA756" s="62"/>
      <c r="AB756" s="63"/>
      <c r="AC756" s="62" t="str">
        <f t="shared" si="2"/>
        <v>Silent Princess</v>
      </c>
    </row>
    <row r="757">
      <c r="U757" s="62" t="str">
        <f>IFERROR(__xludf.DUMMYFUNCTION("""COMPUTED_VALUE"""),"2 Shard of Light Dragon's Fang")</f>
        <v>2 Shard of Light Dragon's Fang</v>
      </c>
      <c r="V757" s="62">
        <f>IFERROR(__xludf.DUMMYFUNCTION("SPLIT(U757,"" "")"),2.0)</f>
        <v>2</v>
      </c>
      <c r="W757" s="62" t="str">
        <f>IFERROR(__xludf.DUMMYFUNCTION("""COMPUTED_VALUE"""),"Shard")</f>
        <v>Shard</v>
      </c>
      <c r="X757" s="62" t="str">
        <f>IFERROR(__xludf.DUMMYFUNCTION("""COMPUTED_VALUE"""),"of")</f>
        <v>of</v>
      </c>
      <c r="Y757" s="62" t="str">
        <f>IFERROR(__xludf.DUMMYFUNCTION("""COMPUTED_VALUE"""),"Light")</f>
        <v>Light</v>
      </c>
      <c r="Z757" s="62" t="str">
        <f>IFERROR(__xludf.DUMMYFUNCTION("""COMPUTED_VALUE"""),"Dragon's")</f>
        <v>Dragon's</v>
      </c>
      <c r="AA757" s="62" t="str">
        <f>IFERROR(__xludf.DUMMYFUNCTION("""COMPUTED_VALUE"""),"Fang")</f>
        <v>Fang</v>
      </c>
      <c r="AB757" s="63"/>
      <c r="AC757" s="62" t="str">
        <f t="shared" si="2"/>
        <v>Shard of Light Dragon's Fang</v>
      </c>
    </row>
    <row r="758">
      <c r="U758" s="62" t="str">
        <f>IFERROR(__xludf.DUMMYFUNCTION("""COMPUTED_VALUE"""),"15 Sundelion")</f>
        <v>15 Sundelion</v>
      </c>
      <c r="V758" s="62">
        <f>IFERROR(__xludf.DUMMYFUNCTION("SPLIT(U758,"" "")"),15.0)</f>
        <v>15</v>
      </c>
      <c r="W758" s="62" t="str">
        <f>IFERROR(__xludf.DUMMYFUNCTION("""COMPUTED_VALUE"""),"Sundelion")</f>
        <v>Sundelion</v>
      </c>
      <c r="X758" s="62"/>
      <c r="Y758" s="62"/>
      <c r="Z758" s="62"/>
      <c r="AA758" s="62"/>
      <c r="AB758" s="63"/>
      <c r="AC758" s="62" t="str">
        <f t="shared" si="2"/>
        <v>Sundelion</v>
      </c>
    </row>
    <row r="759">
      <c r="U759" s="62" t="str">
        <f>IFERROR(__xludf.DUMMYFUNCTION("""COMPUTED_VALUE"""),"10 Silent Princess")</f>
        <v>10 Silent Princess</v>
      </c>
      <c r="V759" s="62">
        <f>IFERROR(__xludf.DUMMYFUNCTION("SPLIT(U759,"" "")"),10.0)</f>
        <v>10</v>
      </c>
      <c r="W759" s="62" t="str">
        <f>IFERROR(__xludf.DUMMYFUNCTION("""COMPUTED_VALUE"""),"Silent")</f>
        <v>Silent</v>
      </c>
      <c r="X759" s="62" t="str">
        <f>IFERROR(__xludf.DUMMYFUNCTION("""COMPUTED_VALUE"""),"Princess")</f>
        <v>Princess</v>
      </c>
      <c r="Y759" s="62"/>
      <c r="Z759" s="62"/>
      <c r="AA759" s="62"/>
      <c r="AB759" s="63"/>
      <c r="AC759" s="62" t="str">
        <f t="shared" si="2"/>
        <v>Silent Princess</v>
      </c>
    </row>
    <row r="760">
      <c r="U760" s="62" t="str">
        <f>IFERROR(__xludf.DUMMYFUNCTION("""COMPUTED_VALUE"""),"2 Light Dragon's Horn")</f>
        <v>2 Light Dragon's Horn</v>
      </c>
      <c r="V760" s="62">
        <f>IFERROR(__xludf.DUMMYFUNCTION("SPLIT(U760,"" "")"),2.0)</f>
        <v>2</v>
      </c>
      <c r="W760" s="62" t="str">
        <f>IFERROR(__xludf.DUMMYFUNCTION("""COMPUTED_VALUE"""),"Light")</f>
        <v>Light</v>
      </c>
      <c r="X760" s="62" t="str">
        <f>IFERROR(__xludf.DUMMYFUNCTION("""COMPUTED_VALUE"""),"Dragon's")</f>
        <v>Dragon's</v>
      </c>
      <c r="Y760" s="62" t="str">
        <f>IFERROR(__xludf.DUMMYFUNCTION("""COMPUTED_VALUE"""),"Horn")</f>
        <v>Horn</v>
      </c>
      <c r="Z760" s="62"/>
      <c r="AA760" s="62"/>
      <c r="AB760" s="63"/>
      <c r="AC760" s="62" t="str">
        <f t="shared" si="2"/>
        <v>Light Dragon's Horn</v>
      </c>
    </row>
    <row r="761">
      <c r="U761" s="62" t="str">
        <f>IFERROR(__xludf.DUMMYFUNCTION("""COMPUTED_VALUE"""),"20 Sundelion")</f>
        <v>20 Sundelion</v>
      </c>
      <c r="V761" s="62">
        <f>IFERROR(__xludf.DUMMYFUNCTION("SPLIT(U761,"" "")"),20.0)</f>
        <v>20</v>
      </c>
      <c r="W761" s="62" t="str">
        <f>IFERROR(__xludf.DUMMYFUNCTION("""COMPUTED_VALUE"""),"Sundelion")</f>
        <v>Sundelion</v>
      </c>
      <c r="X761" s="62"/>
      <c r="Y761" s="62"/>
      <c r="Z761" s="62"/>
      <c r="AA761" s="62"/>
      <c r="AB761" s="63"/>
      <c r="AC761" s="62" t="str">
        <f t="shared" si="2"/>
        <v>Sundelion</v>
      </c>
    </row>
    <row r="762">
      <c r="U762" s="62" t="str">
        <f>IFERROR(__xludf.DUMMYFUNCTION("""COMPUTED_VALUE"""),"N/A")</f>
        <v>N/A</v>
      </c>
      <c r="V762" s="62" t="str">
        <f>IFERROR(__xludf.DUMMYFUNCTION("SPLIT(U762,"" "")"),"N/A")</f>
        <v>N/A</v>
      </c>
      <c r="W762" s="62"/>
      <c r="X762" s="62"/>
      <c r="Y762" s="62"/>
      <c r="Z762" s="62"/>
      <c r="AA762" s="62"/>
      <c r="AB762" s="63"/>
      <c r="AC762" s="62" t="str">
        <f t="shared" si="2"/>
        <v/>
      </c>
    </row>
    <row r="763">
      <c r="U763" s="62" t="str">
        <f>IFERROR(__xludf.DUMMYFUNCTION("""COMPUTED_VALUE"""),"N/A")</f>
        <v>N/A</v>
      </c>
      <c r="V763" s="62" t="str">
        <f>IFERROR(__xludf.DUMMYFUNCTION("SPLIT(U763,"" "")"),"N/A")</f>
        <v>N/A</v>
      </c>
      <c r="W763" s="62"/>
      <c r="X763" s="62"/>
      <c r="Y763" s="62"/>
      <c r="Z763" s="62"/>
      <c r="AA763" s="62"/>
      <c r="AB763" s="63"/>
      <c r="AC763" s="62" t="str">
        <f t="shared" si="2"/>
        <v/>
      </c>
    </row>
    <row r="764">
      <c r="U764" s="62" t="str">
        <f>IFERROR(__xludf.DUMMYFUNCTION("""COMPUTED_VALUE"""),"N/A")</f>
        <v>N/A</v>
      </c>
      <c r="V764" s="62" t="str">
        <f>IFERROR(__xludf.DUMMYFUNCTION("SPLIT(U764,"" "")"),"N/A")</f>
        <v>N/A</v>
      </c>
      <c r="W764" s="62"/>
      <c r="X764" s="62"/>
      <c r="Y764" s="62"/>
      <c r="Z764" s="62"/>
      <c r="AA764" s="62"/>
      <c r="AB764" s="63"/>
      <c r="AC764" s="62" t="str">
        <f t="shared" si="2"/>
        <v/>
      </c>
    </row>
    <row r="765">
      <c r="U765" s="62" t="str">
        <f>IFERROR(__xludf.DUMMYFUNCTION("""COMPUTED_VALUE"""),"N/A")</f>
        <v>N/A</v>
      </c>
      <c r="V765" s="62" t="str">
        <f>IFERROR(__xludf.DUMMYFUNCTION("SPLIT(U765,"" "")"),"N/A")</f>
        <v>N/A</v>
      </c>
      <c r="W765" s="62"/>
      <c r="X765" s="62"/>
      <c r="Y765" s="62"/>
      <c r="Z765" s="62"/>
      <c r="AA765" s="62"/>
      <c r="AB765" s="63"/>
      <c r="AC765" s="62" t="str">
        <f t="shared" si="2"/>
        <v/>
      </c>
    </row>
    <row r="766">
      <c r="U766" s="62" t="str">
        <f>IFERROR(__xludf.DUMMYFUNCTION("""COMPUTED_VALUE"""),"N/A")</f>
        <v>N/A</v>
      </c>
      <c r="V766" s="62" t="str">
        <f>IFERROR(__xludf.DUMMYFUNCTION("SPLIT(U766,"" "")"),"N/A")</f>
        <v>N/A</v>
      </c>
      <c r="W766" s="62"/>
      <c r="X766" s="62"/>
      <c r="Y766" s="62"/>
      <c r="Z766" s="62"/>
      <c r="AA766" s="62"/>
      <c r="AB766" s="63"/>
      <c r="AC766" s="62" t="str">
        <f t="shared" si="2"/>
        <v/>
      </c>
    </row>
    <row r="767">
      <c r="U767" s="62" t="str">
        <f>IFERROR(__xludf.DUMMYFUNCTION("""COMPUTED_VALUE"""),"N/A")</f>
        <v>N/A</v>
      </c>
      <c r="V767" s="62" t="str">
        <f>IFERROR(__xludf.DUMMYFUNCTION("SPLIT(U767,"" "")"),"N/A")</f>
        <v>N/A</v>
      </c>
      <c r="W767" s="62"/>
      <c r="X767" s="62"/>
      <c r="Y767" s="62"/>
      <c r="Z767" s="62"/>
      <c r="AA767" s="62"/>
      <c r="AB767" s="63"/>
      <c r="AC767" s="62" t="str">
        <f t="shared" si="2"/>
        <v/>
      </c>
    </row>
    <row r="768">
      <c r="U768" s="62" t="str">
        <f>IFERROR(__xludf.DUMMYFUNCTION("""COMPUTED_VALUE"""),"N/A")</f>
        <v>N/A</v>
      </c>
      <c r="V768" s="62" t="str">
        <f>IFERROR(__xludf.DUMMYFUNCTION("SPLIT(U768,"" "")"),"N/A")</f>
        <v>N/A</v>
      </c>
      <c r="W768" s="62"/>
      <c r="X768" s="62"/>
      <c r="Y768" s="62"/>
      <c r="Z768" s="62"/>
      <c r="AA768" s="62"/>
      <c r="AB768" s="63"/>
      <c r="AC768" s="62" t="str">
        <f t="shared" si="2"/>
        <v/>
      </c>
    </row>
    <row r="769">
      <c r="U769" s="62" t="str">
        <f>IFERROR(__xludf.DUMMYFUNCTION("""COMPUTED_VALUE"""),"N/A")</f>
        <v>N/A</v>
      </c>
      <c r="V769" s="62" t="str">
        <f>IFERROR(__xludf.DUMMYFUNCTION("SPLIT(U769,"" "")"),"N/A")</f>
        <v>N/A</v>
      </c>
      <c r="W769" s="62"/>
      <c r="X769" s="62"/>
      <c r="Y769" s="62"/>
      <c r="Z769" s="62"/>
      <c r="AA769" s="62"/>
      <c r="AB769" s="63"/>
      <c r="AC769" s="62" t="str">
        <f t="shared" si="2"/>
        <v/>
      </c>
    </row>
    <row r="770">
      <c r="U770" s="62" t="str">
        <f>IFERROR(__xludf.DUMMYFUNCTION("""COMPUTED_VALUE"""),"N/A")</f>
        <v>N/A</v>
      </c>
      <c r="V770" s="62" t="str">
        <f>IFERROR(__xludf.DUMMYFUNCTION("SPLIT(U770,"" "")"),"N/A")</f>
        <v>N/A</v>
      </c>
      <c r="W770" s="62"/>
      <c r="X770" s="62"/>
      <c r="Y770" s="62"/>
      <c r="Z770" s="62"/>
      <c r="AA770" s="62"/>
      <c r="AB770" s="63"/>
      <c r="AC770" s="62" t="str">
        <f t="shared" si="2"/>
        <v/>
      </c>
    </row>
    <row r="771">
      <c r="U771" s="62" t="str">
        <f>IFERROR(__xludf.DUMMYFUNCTION("""COMPUTED_VALUE"""),"N/A")</f>
        <v>N/A</v>
      </c>
      <c r="V771" s="62" t="str">
        <f>IFERROR(__xludf.DUMMYFUNCTION("SPLIT(U771,"" "")"),"N/A")</f>
        <v>N/A</v>
      </c>
      <c r="W771" s="62"/>
      <c r="X771" s="62"/>
      <c r="Y771" s="62"/>
      <c r="Z771" s="62"/>
      <c r="AA771" s="62"/>
      <c r="AB771" s="63"/>
      <c r="AC771" s="62" t="str">
        <f t="shared" si="2"/>
        <v/>
      </c>
    </row>
    <row r="772">
      <c r="U772" s="62" t="str">
        <f>IFERROR(__xludf.DUMMYFUNCTION("""COMPUTED_VALUE"""),"N/A")</f>
        <v>N/A</v>
      </c>
      <c r="V772" s="62" t="str">
        <f>IFERROR(__xludf.DUMMYFUNCTION("SPLIT(U772,"" "")"),"N/A")</f>
        <v>N/A</v>
      </c>
      <c r="W772" s="62"/>
      <c r="X772" s="62"/>
      <c r="Y772" s="62"/>
      <c r="Z772" s="62"/>
      <c r="AA772" s="62"/>
      <c r="AB772" s="63"/>
      <c r="AC772" s="62" t="str">
        <f t="shared" si="2"/>
        <v/>
      </c>
    </row>
    <row r="773">
      <c r="U773" s="62" t="str">
        <f>IFERROR(__xludf.DUMMYFUNCTION("""COMPUTED_VALUE"""),"N/A")</f>
        <v>N/A</v>
      </c>
      <c r="V773" s="62" t="str">
        <f>IFERROR(__xludf.DUMMYFUNCTION("SPLIT(U773,"" "")"),"N/A")</f>
        <v>N/A</v>
      </c>
      <c r="W773" s="62"/>
      <c r="X773" s="62"/>
      <c r="Y773" s="62"/>
      <c r="Z773" s="62"/>
      <c r="AA773" s="62"/>
      <c r="AB773" s="63"/>
      <c r="AC773" s="62" t="str">
        <f t="shared" si="2"/>
        <v/>
      </c>
    </row>
    <row r="774">
      <c r="U774" s="62" t="str">
        <f>IFERROR(__xludf.DUMMYFUNCTION("""COMPUTED_VALUE"""),"N/A")</f>
        <v>N/A</v>
      </c>
      <c r="V774" s="62" t="str">
        <f>IFERROR(__xludf.DUMMYFUNCTION("SPLIT(U774,"" "")"),"N/A")</f>
        <v>N/A</v>
      </c>
      <c r="W774" s="62"/>
      <c r="X774" s="62"/>
      <c r="Y774" s="62"/>
      <c r="Z774" s="62"/>
      <c r="AA774" s="62"/>
      <c r="AB774" s="63"/>
      <c r="AC774" s="62" t="str">
        <f t="shared" si="2"/>
        <v/>
      </c>
    </row>
    <row r="775">
      <c r="U775" s="62" t="str">
        <f>IFERROR(__xludf.DUMMYFUNCTION("""COMPUTED_VALUE"""),"N/A")</f>
        <v>N/A</v>
      </c>
      <c r="V775" s="62" t="str">
        <f>IFERROR(__xludf.DUMMYFUNCTION("SPLIT(U775,"" "")"),"N/A")</f>
        <v>N/A</v>
      </c>
      <c r="W775" s="62"/>
      <c r="X775" s="62"/>
      <c r="Y775" s="62"/>
      <c r="Z775" s="62"/>
      <c r="AA775" s="62"/>
      <c r="AB775" s="63"/>
      <c r="AC775" s="62" t="str">
        <f t="shared" si="2"/>
        <v/>
      </c>
    </row>
    <row r="776">
      <c r="U776" s="62" t="str">
        <f>IFERROR(__xludf.DUMMYFUNCTION("""COMPUTED_VALUE"""),"N/A")</f>
        <v>N/A</v>
      </c>
      <c r="V776" s="62" t="str">
        <f>IFERROR(__xludf.DUMMYFUNCTION("SPLIT(U776,"" "")"),"N/A")</f>
        <v>N/A</v>
      </c>
      <c r="W776" s="62"/>
      <c r="X776" s="62"/>
      <c r="Y776" s="62"/>
      <c r="Z776" s="62"/>
      <c r="AA776" s="62"/>
      <c r="AB776" s="63"/>
      <c r="AC776" s="62" t="str">
        <f t="shared" si="2"/>
        <v/>
      </c>
    </row>
    <row r="777">
      <c r="U777" s="62" t="str">
        <f>IFERROR(__xludf.DUMMYFUNCTION("""COMPUTED_VALUE"""),"N/A")</f>
        <v>N/A</v>
      </c>
      <c r="V777" s="62" t="str">
        <f>IFERROR(__xludf.DUMMYFUNCTION("SPLIT(U777,"" "")"),"N/A")</f>
        <v>N/A</v>
      </c>
      <c r="W777" s="62"/>
      <c r="X777" s="62"/>
      <c r="Y777" s="62"/>
      <c r="Z777" s="62"/>
      <c r="AA777" s="62"/>
      <c r="AB777" s="63"/>
      <c r="AC777" s="62" t="str">
        <f t="shared" si="2"/>
        <v/>
      </c>
    </row>
    <row r="778">
      <c r="U778" s="62" t="str">
        <f>IFERROR(__xludf.DUMMYFUNCTION("""COMPUTED_VALUE"""),"N/A")</f>
        <v>N/A</v>
      </c>
      <c r="V778" s="62" t="str">
        <f>IFERROR(__xludf.DUMMYFUNCTION("SPLIT(U778,"" "")"),"N/A")</f>
        <v>N/A</v>
      </c>
      <c r="W778" s="62"/>
      <c r="X778" s="62"/>
      <c r="Y778" s="62"/>
      <c r="Z778" s="62"/>
      <c r="AA778" s="62"/>
      <c r="AB778" s="63"/>
      <c r="AC778" s="62" t="str">
        <f t="shared" si="2"/>
        <v/>
      </c>
    </row>
    <row r="779">
      <c r="U779" s="62" t="str">
        <f>IFERROR(__xludf.DUMMYFUNCTION("""COMPUTED_VALUE"""),"N/A")</f>
        <v>N/A</v>
      </c>
      <c r="V779" s="62" t="str">
        <f>IFERROR(__xludf.DUMMYFUNCTION("SPLIT(U779,"" "")"),"N/A")</f>
        <v>N/A</v>
      </c>
      <c r="W779" s="62"/>
      <c r="X779" s="62"/>
      <c r="Y779" s="62"/>
      <c r="Z779" s="62"/>
      <c r="AA779" s="62"/>
      <c r="AB779" s="63"/>
      <c r="AC779" s="62" t="str">
        <f t="shared" si="2"/>
        <v/>
      </c>
    </row>
    <row r="780">
      <c r="U780" s="62" t="str">
        <f>IFERROR(__xludf.DUMMYFUNCTION("""COMPUTED_VALUE"""),"N/A")</f>
        <v>N/A</v>
      </c>
      <c r="V780" s="62" t="str">
        <f>IFERROR(__xludf.DUMMYFUNCTION("SPLIT(U780,"" "")"),"N/A")</f>
        <v>N/A</v>
      </c>
      <c r="W780" s="62"/>
      <c r="X780" s="62"/>
      <c r="Y780" s="62"/>
      <c r="Z780" s="62"/>
      <c r="AA780" s="62"/>
      <c r="AB780" s="63"/>
      <c r="AC780" s="62" t="str">
        <f t="shared" si="2"/>
        <v/>
      </c>
    </row>
    <row r="781">
      <c r="U781" s="62" t="str">
        <f>IFERROR(__xludf.DUMMYFUNCTION("""COMPUTED_VALUE"""),"N/A")</f>
        <v>N/A</v>
      </c>
      <c r="V781" s="62" t="str">
        <f>IFERROR(__xludf.DUMMYFUNCTION("SPLIT(U781,"" "")"),"N/A")</f>
        <v>N/A</v>
      </c>
      <c r="W781" s="62"/>
      <c r="X781" s="62"/>
      <c r="Y781" s="62"/>
      <c r="Z781" s="62"/>
      <c r="AA781" s="62"/>
      <c r="AB781" s="63"/>
      <c r="AC781" s="62" t="str">
        <f t="shared" si="2"/>
        <v/>
      </c>
    </row>
    <row r="782">
      <c r="U782" s="62" t="str">
        <f>IFERROR(__xludf.DUMMYFUNCTION("""COMPUTED_VALUE"""),"N/A")</f>
        <v>N/A</v>
      </c>
      <c r="V782" s="62" t="str">
        <f>IFERROR(__xludf.DUMMYFUNCTION("SPLIT(U782,"" "")"),"N/A")</f>
        <v>N/A</v>
      </c>
      <c r="W782" s="62"/>
      <c r="X782" s="62"/>
      <c r="Y782" s="62"/>
      <c r="Z782" s="62"/>
      <c r="AA782" s="62"/>
      <c r="AB782" s="63"/>
      <c r="AC782" s="62" t="str">
        <f t="shared" si="2"/>
        <v/>
      </c>
    </row>
    <row r="783">
      <c r="U783" s="62" t="str">
        <f>IFERROR(__xludf.DUMMYFUNCTION("""COMPUTED_VALUE"""),"N/A")</f>
        <v>N/A</v>
      </c>
      <c r="V783" s="62" t="str">
        <f>IFERROR(__xludf.DUMMYFUNCTION("SPLIT(U783,"" "")"),"N/A")</f>
        <v>N/A</v>
      </c>
      <c r="W783" s="62"/>
      <c r="X783" s="62"/>
      <c r="Y783" s="62"/>
      <c r="Z783" s="62"/>
      <c r="AA783" s="62"/>
      <c r="AB783" s="63"/>
      <c r="AC783" s="62" t="str">
        <f t="shared" si="2"/>
        <v/>
      </c>
    </row>
    <row r="784">
      <c r="U784" s="62" t="str">
        <f>IFERROR(__xludf.DUMMYFUNCTION("""COMPUTED_VALUE"""),"N/A")</f>
        <v>N/A</v>
      </c>
      <c r="V784" s="62" t="str">
        <f>IFERROR(__xludf.DUMMYFUNCTION("SPLIT(U784,"" "")"),"N/A")</f>
        <v>N/A</v>
      </c>
      <c r="W784" s="62"/>
      <c r="X784" s="62"/>
      <c r="Y784" s="62"/>
      <c r="Z784" s="62"/>
      <c r="AA784" s="62"/>
      <c r="AB784" s="63"/>
      <c r="AC784" s="62" t="str">
        <f t="shared" si="2"/>
        <v/>
      </c>
    </row>
    <row r="785">
      <c r="U785" s="62" t="str">
        <f>IFERROR(__xludf.DUMMYFUNCTION("""COMPUTED_VALUE"""),"N/A")</f>
        <v>N/A</v>
      </c>
      <c r="V785" s="62" t="str">
        <f>IFERROR(__xludf.DUMMYFUNCTION("SPLIT(U785,"" "")"),"N/A")</f>
        <v>N/A</v>
      </c>
      <c r="W785" s="62"/>
      <c r="X785" s="62"/>
      <c r="Y785" s="62"/>
      <c r="Z785" s="62"/>
      <c r="AA785" s="62"/>
      <c r="AB785" s="63"/>
      <c r="AC785" s="62" t="str">
        <f t="shared" si="2"/>
        <v/>
      </c>
    </row>
    <row r="786">
      <c r="U786" s="62" t="str">
        <f>IFERROR(__xludf.DUMMYFUNCTION("""COMPUTED_VALUE"""),"N/A")</f>
        <v>N/A</v>
      </c>
      <c r="V786" s="62" t="str">
        <f>IFERROR(__xludf.DUMMYFUNCTION("SPLIT(U786,"" "")"),"N/A")</f>
        <v>N/A</v>
      </c>
      <c r="W786" s="62"/>
      <c r="X786" s="62"/>
      <c r="Y786" s="62"/>
      <c r="Z786" s="62"/>
      <c r="AA786" s="62"/>
      <c r="AB786" s="63"/>
      <c r="AC786" s="62" t="str">
        <f t="shared" si="2"/>
        <v/>
      </c>
    </row>
    <row r="787">
      <c r="U787" s="62" t="str">
        <f>IFERROR(__xludf.DUMMYFUNCTION("""COMPUTED_VALUE"""),"N/A")</f>
        <v>N/A</v>
      </c>
      <c r="V787" s="62" t="str">
        <f>IFERROR(__xludf.DUMMYFUNCTION("SPLIT(U787,"" "")"),"N/A")</f>
        <v>N/A</v>
      </c>
      <c r="W787" s="62"/>
      <c r="X787" s="62"/>
      <c r="Y787" s="62"/>
      <c r="Z787" s="62"/>
      <c r="AA787" s="62"/>
      <c r="AB787" s="63"/>
      <c r="AC787" s="62" t="str">
        <f t="shared" si="2"/>
        <v/>
      </c>
    </row>
    <row r="788">
      <c r="U788" s="62" t="str">
        <f>IFERROR(__xludf.DUMMYFUNCTION("""COMPUTED_VALUE"""),"N/A")</f>
        <v>N/A</v>
      </c>
      <c r="V788" s="62" t="str">
        <f>IFERROR(__xludf.DUMMYFUNCTION("SPLIT(U788,"" "")"),"N/A")</f>
        <v>N/A</v>
      </c>
      <c r="W788" s="62"/>
      <c r="X788" s="62"/>
      <c r="Y788" s="62"/>
      <c r="Z788" s="62"/>
      <c r="AA788" s="62"/>
      <c r="AB788" s="63"/>
      <c r="AC788" s="62" t="str">
        <f t="shared" si="2"/>
        <v/>
      </c>
    </row>
    <row r="789">
      <c r="U789" s="62" t="str">
        <f>IFERROR(__xludf.DUMMYFUNCTION("""COMPUTED_VALUE"""),"N/A")</f>
        <v>N/A</v>
      </c>
      <c r="V789" s="62" t="str">
        <f>IFERROR(__xludf.DUMMYFUNCTION("SPLIT(U789,"" "")"),"N/A")</f>
        <v>N/A</v>
      </c>
      <c r="W789" s="62"/>
      <c r="X789" s="62"/>
      <c r="Y789" s="62"/>
      <c r="Z789" s="62"/>
      <c r="AA789" s="62"/>
      <c r="AB789" s="63"/>
      <c r="AC789" s="62" t="str">
        <f t="shared" si="2"/>
        <v/>
      </c>
    </row>
    <row r="790">
      <c r="U790" s="62" t="str">
        <f>IFERROR(__xludf.DUMMYFUNCTION("""COMPUTED_VALUE"""),"N/A")</f>
        <v>N/A</v>
      </c>
      <c r="V790" s="62" t="str">
        <f>IFERROR(__xludf.DUMMYFUNCTION("SPLIT(U790,"" "")"),"N/A")</f>
        <v>N/A</v>
      </c>
      <c r="W790" s="62"/>
      <c r="X790" s="62"/>
      <c r="Y790" s="62"/>
      <c r="Z790" s="62"/>
      <c r="AA790" s="62"/>
      <c r="AB790" s="63"/>
      <c r="AC790" s="62" t="str">
        <f t="shared" si="2"/>
        <v/>
      </c>
    </row>
    <row r="791">
      <c r="U791" s="62" t="str">
        <f>IFERROR(__xludf.DUMMYFUNCTION("""COMPUTED_VALUE"""),"N/A")</f>
        <v>N/A</v>
      </c>
      <c r="V791" s="62" t="str">
        <f>IFERROR(__xludf.DUMMYFUNCTION("SPLIT(U791,"" "")"),"N/A")</f>
        <v>N/A</v>
      </c>
      <c r="W791" s="62"/>
      <c r="X791" s="62"/>
      <c r="Y791" s="62"/>
      <c r="Z791" s="62"/>
      <c r="AA791" s="62"/>
      <c r="AB791" s="63"/>
      <c r="AC791" s="62" t="str">
        <f t="shared" si="2"/>
        <v/>
      </c>
    </row>
    <row r="792">
      <c r="U792" s="62" t="str">
        <f>IFERROR(__xludf.DUMMYFUNCTION("""COMPUTED_VALUE"""),"N/A")</f>
        <v>N/A</v>
      </c>
      <c r="V792" s="62" t="str">
        <f>IFERROR(__xludf.DUMMYFUNCTION("SPLIT(U792,"" "")"),"N/A")</f>
        <v>N/A</v>
      </c>
      <c r="W792" s="62"/>
      <c r="X792" s="62"/>
      <c r="Y792" s="62"/>
      <c r="Z792" s="62"/>
      <c r="AA792" s="62"/>
      <c r="AB792" s="63"/>
      <c r="AC792" s="62" t="str">
        <f t="shared" si="2"/>
        <v/>
      </c>
    </row>
    <row r="793">
      <c r="U793" s="62" t="str">
        <f>IFERROR(__xludf.DUMMYFUNCTION("""COMPUTED_VALUE"""),"N/A")</f>
        <v>N/A</v>
      </c>
      <c r="V793" s="62" t="str">
        <f>IFERROR(__xludf.DUMMYFUNCTION("SPLIT(U793,"" "")"),"N/A")</f>
        <v>N/A</v>
      </c>
      <c r="W793" s="62"/>
      <c r="X793" s="62"/>
      <c r="Y793" s="62"/>
      <c r="Z793" s="62"/>
      <c r="AA793" s="62"/>
      <c r="AB793" s="63"/>
      <c r="AC793" s="62" t="str">
        <f t="shared" si="2"/>
        <v/>
      </c>
    </row>
    <row r="794">
      <c r="U794" s="62" t="str">
        <f>IFERROR(__xludf.DUMMYFUNCTION("""COMPUTED_VALUE"""),"N/A")</f>
        <v>N/A</v>
      </c>
      <c r="V794" s="62" t="str">
        <f>IFERROR(__xludf.DUMMYFUNCTION("SPLIT(U794,"" "")"),"N/A")</f>
        <v>N/A</v>
      </c>
      <c r="W794" s="62"/>
      <c r="X794" s="62"/>
      <c r="Y794" s="62"/>
      <c r="Z794" s="62"/>
      <c r="AA794" s="62"/>
      <c r="AB794" s="63"/>
      <c r="AC794" s="62" t="str">
        <f t="shared" si="2"/>
        <v/>
      </c>
    </row>
    <row r="795">
      <c r="U795" s="62" t="str">
        <f>IFERROR(__xludf.DUMMYFUNCTION("""COMPUTED_VALUE"""),"N/A")</f>
        <v>N/A</v>
      </c>
      <c r="V795" s="62" t="str">
        <f>IFERROR(__xludf.DUMMYFUNCTION("SPLIT(U795,"" "")"),"N/A")</f>
        <v>N/A</v>
      </c>
      <c r="W795" s="62"/>
      <c r="X795" s="62"/>
      <c r="Y795" s="62"/>
      <c r="Z795" s="62"/>
      <c r="AA795" s="62"/>
      <c r="AB795" s="63"/>
      <c r="AC795" s="62" t="str">
        <f t="shared" si="2"/>
        <v/>
      </c>
    </row>
    <row r="796">
      <c r="U796" s="62" t="str">
        <f>IFERROR(__xludf.DUMMYFUNCTION("""COMPUTED_VALUE"""),"N/A")</f>
        <v>N/A</v>
      </c>
      <c r="V796" s="62" t="str">
        <f>IFERROR(__xludf.DUMMYFUNCTION("SPLIT(U796,"" "")"),"N/A")</f>
        <v>N/A</v>
      </c>
      <c r="W796" s="62"/>
      <c r="X796" s="62"/>
      <c r="Y796" s="62"/>
      <c r="Z796" s="62"/>
      <c r="AA796" s="62"/>
      <c r="AB796" s="63"/>
      <c r="AC796" s="62" t="str">
        <f t="shared" si="2"/>
        <v/>
      </c>
    </row>
    <row r="797">
      <c r="U797" s="62" t="str">
        <f>IFERROR(__xludf.DUMMYFUNCTION("""COMPUTED_VALUE"""),"N/A")</f>
        <v>N/A</v>
      </c>
      <c r="V797" s="62" t="str">
        <f>IFERROR(__xludf.DUMMYFUNCTION("SPLIT(U797,"" "")"),"N/A")</f>
        <v>N/A</v>
      </c>
      <c r="W797" s="62"/>
      <c r="X797" s="62"/>
      <c r="Y797" s="62"/>
      <c r="Z797" s="62"/>
      <c r="AA797" s="62"/>
      <c r="AB797" s="63"/>
      <c r="AC797" s="62" t="str">
        <f t="shared" si="2"/>
        <v/>
      </c>
    </row>
    <row r="798">
      <c r="U798" s="62" t="str">
        <f>IFERROR(__xludf.DUMMYFUNCTION("""COMPUTED_VALUE"""),"N/A")</f>
        <v>N/A</v>
      </c>
      <c r="V798" s="62" t="str">
        <f>IFERROR(__xludf.DUMMYFUNCTION("SPLIT(U798,"" "")"),"N/A")</f>
        <v>N/A</v>
      </c>
      <c r="W798" s="62"/>
      <c r="X798" s="62"/>
      <c r="Y798" s="62"/>
      <c r="Z798" s="62"/>
      <c r="AA798" s="62"/>
      <c r="AB798" s="63"/>
      <c r="AC798" s="62" t="str">
        <f t="shared" si="2"/>
        <v/>
      </c>
    </row>
    <row r="799">
      <c r="U799" s="62" t="str">
        <f>IFERROR(__xludf.DUMMYFUNCTION("""COMPUTED_VALUE"""),"N/A")</f>
        <v>N/A</v>
      </c>
      <c r="V799" s="62" t="str">
        <f>IFERROR(__xludf.DUMMYFUNCTION("SPLIT(U799,"" "")"),"N/A")</f>
        <v>N/A</v>
      </c>
      <c r="W799" s="62"/>
      <c r="X799" s="62"/>
      <c r="Y799" s="62"/>
      <c r="Z799" s="62"/>
      <c r="AA799" s="62"/>
      <c r="AB799" s="63"/>
      <c r="AC799" s="62" t="str">
        <f t="shared" si="2"/>
        <v/>
      </c>
    </row>
    <row r="800">
      <c r="U800" s="62" t="str">
        <f>IFERROR(__xludf.DUMMYFUNCTION("""COMPUTED_VALUE"""),"N/A")</f>
        <v>N/A</v>
      </c>
      <c r="V800" s="62" t="str">
        <f>IFERROR(__xludf.DUMMYFUNCTION("SPLIT(U800,"" "")"),"N/A")</f>
        <v>N/A</v>
      </c>
      <c r="W800" s="62"/>
      <c r="X800" s="62"/>
      <c r="Y800" s="62"/>
      <c r="Z800" s="62"/>
      <c r="AA800" s="62"/>
      <c r="AB800" s="63"/>
      <c r="AC800" s="62" t="str">
        <f t="shared" si="2"/>
        <v/>
      </c>
    </row>
    <row r="801">
      <c r="U801" s="62" t="str">
        <f>IFERROR(__xludf.DUMMYFUNCTION("""COMPUTED_VALUE"""),"N/A")</f>
        <v>N/A</v>
      </c>
      <c r="V801" s="62" t="str">
        <f>IFERROR(__xludf.DUMMYFUNCTION("SPLIT(U801,"" "")"),"N/A")</f>
        <v>N/A</v>
      </c>
      <c r="W801" s="62"/>
      <c r="X801" s="62"/>
      <c r="Y801" s="62"/>
      <c r="Z801" s="62"/>
      <c r="AA801" s="62"/>
      <c r="AB801" s="63"/>
      <c r="AC801" s="62" t="str">
        <f t="shared" si="2"/>
        <v/>
      </c>
    </row>
    <row r="802">
      <c r="U802" s="62" t="str">
        <f>IFERROR(__xludf.DUMMYFUNCTION("""COMPUTED_VALUE"""),"N/A")</f>
        <v>N/A</v>
      </c>
      <c r="V802" s="62" t="str">
        <f>IFERROR(__xludf.DUMMYFUNCTION("SPLIT(U802,"" "")"),"N/A")</f>
        <v>N/A</v>
      </c>
      <c r="W802" s="62"/>
      <c r="X802" s="62"/>
      <c r="Y802" s="62"/>
      <c r="Z802" s="62"/>
      <c r="AA802" s="62"/>
      <c r="AB802" s="63"/>
      <c r="AC802" s="62" t="str">
        <f t="shared" si="2"/>
        <v/>
      </c>
    </row>
    <row r="803">
      <c r="U803" s="62" t="str">
        <f>IFERROR(__xludf.DUMMYFUNCTION("""COMPUTED_VALUE"""),"N/A")</f>
        <v>N/A</v>
      </c>
      <c r="V803" s="62" t="str">
        <f>IFERROR(__xludf.DUMMYFUNCTION("SPLIT(U803,"" "")"),"N/A")</f>
        <v>N/A</v>
      </c>
      <c r="W803" s="62"/>
      <c r="X803" s="62"/>
      <c r="Y803" s="62"/>
      <c r="Z803" s="62"/>
      <c r="AA803" s="62"/>
      <c r="AB803" s="63"/>
      <c r="AC803" s="62" t="str">
        <f t="shared" si="2"/>
        <v/>
      </c>
    </row>
    <row r="804">
      <c r="U804" s="62" t="str">
        <f>IFERROR(__xludf.DUMMYFUNCTION("""COMPUTED_VALUE"""),"N/A")</f>
        <v>N/A</v>
      </c>
      <c r="V804" s="62" t="str">
        <f>IFERROR(__xludf.DUMMYFUNCTION("SPLIT(U804,"" "")"),"N/A")</f>
        <v>N/A</v>
      </c>
      <c r="W804" s="62"/>
      <c r="X804" s="62"/>
      <c r="Y804" s="62"/>
      <c r="Z804" s="62"/>
      <c r="AA804" s="62"/>
      <c r="AB804" s="63"/>
      <c r="AC804" s="62" t="str">
        <f t="shared" si="2"/>
        <v/>
      </c>
    </row>
    <row r="805">
      <c r="U805" s="62" t="str">
        <f>IFERROR(__xludf.DUMMYFUNCTION("""COMPUTED_VALUE"""),"N/A")</f>
        <v>N/A</v>
      </c>
      <c r="V805" s="62" t="str">
        <f>IFERROR(__xludf.DUMMYFUNCTION("SPLIT(U805,"" "")"),"N/A")</f>
        <v>N/A</v>
      </c>
      <c r="W805" s="62"/>
      <c r="X805" s="62"/>
      <c r="Y805" s="62"/>
      <c r="Z805" s="62"/>
      <c r="AA805" s="62"/>
      <c r="AB805" s="63"/>
      <c r="AC805" s="62" t="str">
        <f t="shared" si="2"/>
        <v/>
      </c>
    </row>
    <row r="806">
      <c r="U806" s="62" t="str">
        <f>IFERROR(__xludf.DUMMYFUNCTION("""COMPUTED_VALUE"""),"N/A")</f>
        <v>N/A</v>
      </c>
      <c r="V806" s="62" t="str">
        <f>IFERROR(__xludf.DUMMYFUNCTION("SPLIT(U806,"" "")"),"N/A")</f>
        <v>N/A</v>
      </c>
      <c r="W806" s="62"/>
      <c r="X806" s="62"/>
      <c r="Y806" s="62"/>
      <c r="Z806" s="62"/>
      <c r="AA806" s="62"/>
      <c r="AB806" s="63"/>
      <c r="AC806" s="62" t="str">
        <f t="shared" si="2"/>
        <v/>
      </c>
    </row>
    <row r="807">
      <c r="U807" s="62" t="str">
        <f>IFERROR(__xludf.DUMMYFUNCTION("""COMPUTED_VALUE"""),"N/A")</f>
        <v>N/A</v>
      </c>
      <c r="V807" s="62" t="str">
        <f>IFERROR(__xludf.DUMMYFUNCTION("SPLIT(U807,"" "")"),"N/A")</f>
        <v>N/A</v>
      </c>
      <c r="W807" s="62"/>
      <c r="X807" s="62"/>
      <c r="Y807" s="62"/>
      <c r="Z807" s="62"/>
      <c r="AA807" s="62"/>
      <c r="AB807" s="63"/>
      <c r="AC807" s="62" t="str">
        <f t="shared" si="2"/>
        <v/>
      </c>
    </row>
    <row r="808">
      <c r="U808" s="62" t="str">
        <f>IFERROR(__xludf.DUMMYFUNCTION("""COMPUTED_VALUE"""),"N/A")</f>
        <v>N/A</v>
      </c>
      <c r="V808" s="62" t="str">
        <f>IFERROR(__xludf.DUMMYFUNCTION("SPLIT(U808,"" "")"),"N/A")</f>
        <v>N/A</v>
      </c>
      <c r="W808" s="62"/>
      <c r="X808" s="62"/>
      <c r="Y808" s="62"/>
      <c r="Z808" s="62"/>
      <c r="AA808" s="62"/>
      <c r="AB808" s="63"/>
      <c r="AC808" s="62" t="str">
        <f t="shared" si="2"/>
        <v/>
      </c>
    </row>
    <row r="809">
      <c r="U809" s="62" t="str">
        <f>IFERROR(__xludf.DUMMYFUNCTION("""COMPUTED_VALUE"""),"N/A")</f>
        <v>N/A</v>
      </c>
      <c r="V809" s="62" t="str">
        <f>IFERROR(__xludf.DUMMYFUNCTION("SPLIT(U809,"" "")"),"N/A")</f>
        <v>N/A</v>
      </c>
      <c r="W809" s="62"/>
      <c r="X809" s="62"/>
      <c r="Y809" s="62"/>
      <c r="Z809" s="62"/>
      <c r="AA809" s="62"/>
      <c r="AB809" s="63"/>
      <c r="AC809" s="62" t="str">
        <f t="shared" si="2"/>
        <v/>
      </c>
    </row>
    <row r="810">
      <c r="U810" s="62" t="str">
        <f>IFERROR(__xludf.DUMMYFUNCTION("""COMPUTED_VALUE"""),"N/A")</f>
        <v>N/A</v>
      </c>
      <c r="V810" s="62" t="str">
        <f>IFERROR(__xludf.DUMMYFUNCTION("SPLIT(U810,"" "")"),"N/A")</f>
        <v>N/A</v>
      </c>
      <c r="W810" s="62"/>
      <c r="X810" s="62"/>
      <c r="Y810" s="62"/>
      <c r="Z810" s="62"/>
      <c r="AA810" s="62"/>
      <c r="AB810" s="63"/>
      <c r="AC810" s="62" t="str">
        <f t="shared" si="2"/>
        <v/>
      </c>
    </row>
    <row r="811">
      <c r="U811" s="62" t="str">
        <f>IFERROR(__xludf.DUMMYFUNCTION("""COMPUTED_VALUE"""),"N/A")</f>
        <v>N/A</v>
      </c>
      <c r="V811" s="62" t="str">
        <f>IFERROR(__xludf.DUMMYFUNCTION("SPLIT(U811,"" "")"),"N/A")</f>
        <v>N/A</v>
      </c>
      <c r="W811" s="62"/>
      <c r="X811" s="62"/>
      <c r="Y811" s="62"/>
      <c r="Z811" s="62"/>
      <c r="AA811" s="62"/>
      <c r="AB811" s="63"/>
      <c r="AC811" s="62" t="str">
        <f t="shared" si="2"/>
        <v/>
      </c>
    </row>
    <row r="812">
      <c r="U812" s="62" t="str">
        <f>IFERROR(__xludf.DUMMYFUNCTION("""COMPUTED_VALUE"""),"N/A")</f>
        <v>N/A</v>
      </c>
      <c r="V812" s="62" t="str">
        <f>IFERROR(__xludf.DUMMYFUNCTION("SPLIT(U812,"" "")"),"N/A")</f>
        <v>N/A</v>
      </c>
      <c r="W812" s="62"/>
      <c r="X812" s="62"/>
      <c r="Y812" s="62"/>
      <c r="Z812" s="62"/>
      <c r="AA812" s="62"/>
      <c r="AB812" s="63"/>
      <c r="AC812" s="62" t="str">
        <f t="shared" si="2"/>
        <v/>
      </c>
    </row>
    <row r="813">
      <c r="U813" s="62" t="str">
        <f>IFERROR(__xludf.DUMMYFUNCTION("""COMPUTED_VALUE"""),"N/A")</f>
        <v>N/A</v>
      </c>
      <c r="V813" s="62" t="str">
        <f>IFERROR(__xludf.DUMMYFUNCTION("SPLIT(U813,"" "")"),"N/A")</f>
        <v>N/A</v>
      </c>
      <c r="W813" s="62"/>
      <c r="X813" s="62"/>
      <c r="Y813" s="62"/>
      <c r="Z813" s="62"/>
      <c r="AA813" s="62"/>
      <c r="AB813" s="63"/>
      <c r="AC813" s="62" t="str">
        <f t="shared" si="2"/>
        <v/>
      </c>
    </row>
    <row r="814">
      <c r="U814" s="62" t="str">
        <f>IFERROR(__xludf.DUMMYFUNCTION("""COMPUTED_VALUE"""),"N/A")</f>
        <v>N/A</v>
      </c>
      <c r="V814" s="62" t="str">
        <f>IFERROR(__xludf.DUMMYFUNCTION("SPLIT(U814,"" "")"),"N/A")</f>
        <v>N/A</v>
      </c>
      <c r="W814" s="62"/>
      <c r="X814" s="62"/>
      <c r="Y814" s="62"/>
      <c r="Z814" s="62"/>
      <c r="AA814" s="62"/>
      <c r="AB814" s="63"/>
      <c r="AC814" s="62" t="str">
        <f t="shared" si="2"/>
        <v/>
      </c>
    </row>
    <row r="815">
      <c r="U815" s="62" t="str">
        <f>IFERROR(__xludf.DUMMYFUNCTION("""COMPUTED_VALUE"""),"N/A")</f>
        <v>N/A</v>
      </c>
      <c r="V815" s="62" t="str">
        <f>IFERROR(__xludf.DUMMYFUNCTION("SPLIT(U815,"" "")"),"N/A")</f>
        <v>N/A</v>
      </c>
      <c r="W815" s="62"/>
      <c r="X815" s="62"/>
      <c r="Y815" s="62"/>
      <c r="Z815" s="62"/>
      <c r="AA815" s="62"/>
      <c r="AB815" s="63"/>
      <c r="AC815" s="62" t="str">
        <f t="shared" si="2"/>
        <v/>
      </c>
    </row>
    <row r="816">
      <c r="U816" s="62" t="str">
        <f>IFERROR(__xludf.DUMMYFUNCTION("""COMPUTED_VALUE"""),"N/A")</f>
        <v>N/A</v>
      </c>
      <c r="V816" s="62" t="str">
        <f>IFERROR(__xludf.DUMMYFUNCTION("SPLIT(U816,"" "")"),"N/A")</f>
        <v>N/A</v>
      </c>
      <c r="W816" s="62"/>
      <c r="X816" s="62"/>
      <c r="Y816" s="62"/>
      <c r="Z816" s="62"/>
      <c r="AA816" s="62"/>
      <c r="AB816" s="63"/>
      <c r="AC816" s="62" t="str">
        <f t="shared" si="2"/>
        <v/>
      </c>
    </row>
    <row r="817">
      <c r="U817" s="62" t="str">
        <f>IFERROR(__xludf.DUMMYFUNCTION("""COMPUTED_VALUE"""),"N/A")</f>
        <v>N/A</v>
      </c>
      <c r="V817" s="62" t="str">
        <f>IFERROR(__xludf.DUMMYFUNCTION("SPLIT(U817,"" "")"),"N/A")</f>
        <v>N/A</v>
      </c>
      <c r="W817" s="62"/>
      <c r="X817" s="62"/>
      <c r="Y817" s="62"/>
      <c r="Z817" s="62"/>
      <c r="AA817" s="62"/>
      <c r="AB817" s="63"/>
      <c r="AC817" s="62" t="str">
        <f t="shared" si="2"/>
        <v/>
      </c>
    </row>
    <row r="818">
      <c r="U818" s="62" t="str">
        <f>IFERROR(__xludf.DUMMYFUNCTION("""COMPUTED_VALUE"""),"N/A")</f>
        <v>N/A</v>
      </c>
      <c r="V818" s="62" t="str">
        <f>IFERROR(__xludf.DUMMYFUNCTION("SPLIT(U818,"" "")"),"N/A")</f>
        <v>N/A</v>
      </c>
      <c r="W818" s="62"/>
      <c r="X818" s="62"/>
      <c r="Y818" s="62"/>
      <c r="Z818" s="62"/>
      <c r="AA818" s="62"/>
      <c r="AB818" s="63"/>
      <c r="AC818" s="62" t="str">
        <f t="shared" si="2"/>
        <v/>
      </c>
    </row>
    <row r="819">
      <c r="U819" s="62" t="str">
        <f>IFERROR(__xludf.DUMMYFUNCTION("""COMPUTED_VALUE"""),"N/A")</f>
        <v>N/A</v>
      </c>
      <c r="V819" s="62" t="str">
        <f>IFERROR(__xludf.DUMMYFUNCTION("SPLIT(U819,"" "")"),"N/A")</f>
        <v>N/A</v>
      </c>
      <c r="W819" s="62"/>
      <c r="X819" s="62"/>
      <c r="Y819" s="62"/>
      <c r="Z819" s="62"/>
      <c r="AA819" s="62"/>
      <c r="AB819" s="63"/>
      <c r="AC819" s="62" t="str">
        <f t="shared" si="2"/>
        <v/>
      </c>
    </row>
    <row r="820">
      <c r="U820" s="62" t="str">
        <f>IFERROR(__xludf.DUMMYFUNCTION("""COMPUTED_VALUE"""),"N/A")</f>
        <v>N/A</v>
      </c>
      <c r="V820" s="62" t="str">
        <f>IFERROR(__xludf.DUMMYFUNCTION("SPLIT(U820,"" "")"),"N/A")</f>
        <v>N/A</v>
      </c>
      <c r="W820" s="62"/>
      <c r="X820" s="62"/>
      <c r="Y820" s="62"/>
      <c r="Z820" s="62"/>
      <c r="AA820" s="62"/>
      <c r="AB820" s="63"/>
      <c r="AC820" s="62" t="str">
        <f t="shared" si="2"/>
        <v/>
      </c>
    </row>
    <row r="821">
      <c r="U821" s="62" t="str">
        <f>IFERROR(__xludf.DUMMYFUNCTION("""COMPUTED_VALUE"""),"N/A")</f>
        <v>N/A</v>
      </c>
      <c r="V821" s="62" t="str">
        <f>IFERROR(__xludf.DUMMYFUNCTION("SPLIT(U821,"" "")"),"N/A")</f>
        <v>N/A</v>
      </c>
      <c r="W821" s="62"/>
      <c r="X821" s="62"/>
      <c r="Y821" s="62"/>
      <c r="Z821" s="62"/>
      <c r="AA821" s="62"/>
      <c r="AB821" s="63"/>
      <c r="AC821" s="62" t="str">
        <f t="shared" si="2"/>
        <v/>
      </c>
    </row>
    <row r="822">
      <c r="U822" s="62" t="str">
        <f>IFERROR(__xludf.DUMMYFUNCTION("""COMPUTED_VALUE"""),"1 Silent Princess")</f>
        <v>1 Silent Princess</v>
      </c>
      <c r="V822" s="62">
        <f>IFERROR(__xludf.DUMMYFUNCTION("SPLIT(U822,"" "")"),1.0)</f>
        <v>1</v>
      </c>
      <c r="W822" s="62" t="str">
        <f>IFERROR(__xludf.DUMMYFUNCTION("""COMPUTED_VALUE"""),"Silent")</f>
        <v>Silent</v>
      </c>
      <c r="X822" s="62" t="str">
        <f>IFERROR(__xludf.DUMMYFUNCTION("""COMPUTED_VALUE"""),"Princess")</f>
        <v>Princess</v>
      </c>
      <c r="Y822" s="62"/>
      <c r="Z822" s="62"/>
      <c r="AA822" s="62"/>
      <c r="AB822" s="63"/>
      <c r="AC822" s="62" t="str">
        <f t="shared" si="2"/>
        <v>Silent Princess</v>
      </c>
    </row>
    <row r="823">
      <c r="U823" s="62" t="str">
        <f>IFERROR(__xludf.DUMMYFUNCTION("""COMPUTED_VALUE"""),"1 Star Fragment")</f>
        <v>1 Star Fragment</v>
      </c>
      <c r="V823" s="62">
        <f>IFERROR(__xludf.DUMMYFUNCTION("SPLIT(U823,"" "")"),1.0)</f>
        <v>1</v>
      </c>
      <c r="W823" s="62" t="str">
        <f>IFERROR(__xludf.DUMMYFUNCTION("""COMPUTED_VALUE"""),"Star")</f>
        <v>Star</v>
      </c>
      <c r="X823" s="62" t="str">
        <f>IFERROR(__xludf.DUMMYFUNCTION("""COMPUTED_VALUE"""),"Fragment")</f>
        <v>Fragment</v>
      </c>
      <c r="Y823" s="62"/>
      <c r="Z823" s="62"/>
      <c r="AA823" s="62"/>
      <c r="AB823" s="63"/>
      <c r="AC823" s="62" t="str">
        <f t="shared" si="2"/>
        <v>Star Fragment</v>
      </c>
    </row>
    <row r="824">
      <c r="U824" s="62" t="str">
        <f>IFERROR(__xludf.DUMMYFUNCTION("""COMPUTED_VALUE"""),"2 Silent Princess")</f>
        <v>2 Silent Princess</v>
      </c>
      <c r="V824" s="62">
        <f>IFERROR(__xludf.DUMMYFUNCTION("SPLIT(U824,"" "")"),2.0)</f>
        <v>2</v>
      </c>
      <c r="W824" s="62" t="str">
        <f>IFERROR(__xludf.DUMMYFUNCTION("""COMPUTED_VALUE"""),"Silent")</f>
        <v>Silent</v>
      </c>
      <c r="X824" s="62" t="str">
        <f>IFERROR(__xludf.DUMMYFUNCTION("""COMPUTED_VALUE"""),"Princess")</f>
        <v>Princess</v>
      </c>
      <c r="Y824" s="62"/>
      <c r="Z824" s="62"/>
      <c r="AA824" s="62"/>
      <c r="AB824" s="63"/>
      <c r="AC824" s="62" t="str">
        <f t="shared" si="2"/>
        <v>Silent Princess</v>
      </c>
    </row>
    <row r="825">
      <c r="U825" s="62" t="str">
        <f>IFERROR(__xludf.DUMMYFUNCTION("""COMPUTED_VALUE"""),"2 Star Fragment")</f>
        <v>2 Star Fragment</v>
      </c>
      <c r="V825" s="62">
        <f>IFERROR(__xludf.DUMMYFUNCTION("SPLIT(U825,"" "")"),2.0)</f>
        <v>2</v>
      </c>
      <c r="W825" s="62" t="str">
        <f>IFERROR(__xludf.DUMMYFUNCTION("""COMPUTED_VALUE"""),"Star")</f>
        <v>Star</v>
      </c>
      <c r="X825" s="62" t="str">
        <f>IFERROR(__xludf.DUMMYFUNCTION("""COMPUTED_VALUE"""),"Fragment")</f>
        <v>Fragment</v>
      </c>
      <c r="Y825" s="62"/>
      <c r="Z825" s="62"/>
      <c r="AA825" s="62"/>
      <c r="AB825" s="63"/>
      <c r="AC825" s="62" t="str">
        <f t="shared" si="2"/>
        <v>Star Fragment</v>
      </c>
    </row>
    <row r="826">
      <c r="U826" s="62" t="str">
        <f>IFERROR(__xludf.DUMMYFUNCTION("""COMPUTED_VALUE"""),"4 Silent Princess")</f>
        <v>4 Silent Princess</v>
      </c>
      <c r="V826" s="62">
        <f>IFERROR(__xludf.DUMMYFUNCTION("SPLIT(U826,"" "")"),4.0)</f>
        <v>4</v>
      </c>
      <c r="W826" s="62" t="str">
        <f>IFERROR(__xludf.DUMMYFUNCTION("""COMPUTED_VALUE"""),"Silent")</f>
        <v>Silent</v>
      </c>
      <c r="X826" s="62" t="str">
        <f>IFERROR(__xludf.DUMMYFUNCTION("""COMPUTED_VALUE"""),"Princess")</f>
        <v>Princess</v>
      </c>
      <c r="Y826" s="62"/>
      <c r="Z826" s="62"/>
      <c r="AA826" s="62"/>
      <c r="AB826" s="63"/>
      <c r="AC826" s="62" t="str">
        <f t="shared" si="2"/>
        <v>Silent Princess</v>
      </c>
    </row>
    <row r="827">
      <c r="U827" s="62" t="str">
        <f>IFERROR(__xludf.DUMMYFUNCTION("""COMPUTED_VALUE"""),"3 Star Fragment")</f>
        <v>3 Star Fragment</v>
      </c>
      <c r="V827" s="62">
        <f>IFERROR(__xludf.DUMMYFUNCTION("SPLIT(U827,"" "")"),3.0)</f>
        <v>3</v>
      </c>
      <c r="W827" s="62" t="str">
        <f>IFERROR(__xludf.DUMMYFUNCTION("""COMPUTED_VALUE"""),"Star")</f>
        <v>Star</v>
      </c>
      <c r="X827" s="62" t="str">
        <f>IFERROR(__xludf.DUMMYFUNCTION("""COMPUTED_VALUE"""),"Fragment")</f>
        <v>Fragment</v>
      </c>
      <c r="Y827" s="62"/>
      <c r="Z827" s="62"/>
      <c r="AA827" s="62"/>
      <c r="AB827" s="63"/>
      <c r="AC827" s="62" t="str">
        <f t="shared" si="2"/>
        <v>Star Fragment</v>
      </c>
    </row>
    <row r="828">
      <c r="U828" s="62" t="str">
        <f>IFERROR(__xludf.DUMMYFUNCTION("""COMPUTED_VALUE"""),"8 Silent Princess")</f>
        <v>8 Silent Princess</v>
      </c>
      <c r="V828" s="62">
        <f>IFERROR(__xludf.DUMMYFUNCTION("SPLIT(U828,"" "")"),8.0)</f>
        <v>8</v>
      </c>
      <c r="W828" s="62" t="str">
        <f>IFERROR(__xludf.DUMMYFUNCTION("""COMPUTED_VALUE"""),"Silent")</f>
        <v>Silent</v>
      </c>
      <c r="X828" s="62" t="str">
        <f>IFERROR(__xludf.DUMMYFUNCTION("""COMPUTED_VALUE"""),"Princess")</f>
        <v>Princess</v>
      </c>
      <c r="Y828" s="62"/>
      <c r="Z828" s="62"/>
      <c r="AA828" s="62"/>
      <c r="AB828" s="63"/>
      <c r="AC828" s="62" t="str">
        <f t="shared" si="2"/>
        <v>Silent Princess</v>
      </c>
    </row>
    <row r="829">
      <c r="U829" s="62" t="str">
        <f>IFERROR(__xludf.DUMMYFUNCTION("""COMPUTED_VALUE"""),"4 Star Fragment")</f>
        <v>4 Star Fragment</v>
      </c>
      <c r="V829" s="62">
        <f>IFERROR(__xludf.DUMMYFUNCTION("SPLIT(U829,"" "")"),4.0)</f>
        <v>4</v>
      </c>
      <c r="W829" s="62" t="str">
        <f>IFERROR(__xludf.DUMMYFUNCTION("""COMPUTED_VALUE"""),"Star")</f>
        <v>Star</v>
      </c>
      <c r="X829" s="62" t="str">
        <f>IFERROR(__xludf.DUMMYFUNCTION("""COMPUTED_VALUE"""),"Fragment")</f>
        <v>Fragment</v>
      </c>
      <c r="Y829" s="62"/>
      <c r="Z829" s="62"/>
      <c r="AA829" s="62"/>
      <c r="AB829" s="63"/>
      <c r="AC829" s="62" t="str">
        <f t="shared" si="2"/>
        <v>Star Fragment</v>
      </c>
    </row>
    <row r="830">
      <c r="U830" s="62" t="str">
        <f>IFERROR(__xludf.DUMMYFUNCTION("""COMPUTED_VALUE"""),"N/A")</f>
        <v>N/A</v>
      </c>
      <c r="V830" s="62" t="str">
        <f>IFERROR(__xludf.DUMMYFUNCTION("SPLIT(U830,"" "")"),"N/A")</f>
        <v>N/A</v>
      </c>
      <c r="W830" s="62"/>
      <c r="X830" s="62"/>
      <c r="Y830" s="62"/>
      <c r="Z830" s="62"/>
      <c r="AA830" s="62"/>
      <c r="AB830" s="63"/>
      <c r="AC830" s="62" t="str">
        <f t="shared" si="2"/>
        <v/>
      </c>
    </row>
    <row r="831">
      <c r="U831" s="62" t="str">
        <f>IFERROR(__xludf.DUMMYFUNCTION("""COMPUTED_VALUE"""),"N/A")</f>
        <v>N/A</v>
      </c>
      <c r="V831" s="62" t="str">
        <f>IFERROR(__xludf.DUMMYFUNCTION("SPLIT(U831,"" "")"),"N/A")</f>
        <v>N/A</v>
      </c>
      <c r="W831" s="62"/>
      <c r="X831" s="62"/>
      <c r="Y831" s="62"/>
      <c r="Z831" s="62"/>
      <c r="AA831" s="62"/>
      <c r="AB831" s="63"/>
      <c r="AC831" s="62" t="str">
        <f t="shared" si="2"/>
        <v/>
      </c>
    </row>
    <row r="832">
      <c r="U832" s="62" t="str">
        <f>IFERROR(__xludf.DUMMYFUNCTION("""COMPUTED_VALUE"""),"N/A")</f>
        <v>N/A</v>
      </c>
      <c r="V832" s="62" t="str">
        <f>IFERROR(__xludf.DUMMYFUNCTION("SPLIT(U832,"" "")"),"N/A")</f>
        <v>N/A</v>
      </c>
      <c r="W832" s="62"/>
      <c r="X832" s="62"/>
      <c r="Y832" s="62"/>
      <c r="Z832" s="62"/>
      <c r="AA832" s="62"/>
      <c r="AB832" s="63"/>
      <c r="AC832" s="62" t="str">
        <f t="shared" si="2"/>
        <v/>
      </c>
    </row>
    <row r="833">
      <c r="U833" s="62" t="str">
        <f>IFERROR(__xludf.DUMMYFUNCTION("""COMPUTED_VALUE"""),"N/A")</f>
        <v>N/A</v>
      </c>
      <c r="V833" s="62" t="str">
        <f>IFERROR(__xludf.DUMMYFUNCTION("SPLIT(U833,"" "")"),"N/A")</f>
        <v>N/A</v>
      </c>
      <c r="W833" s="62"/>
      <c r="X833" s="62"/>
      <c r="Y833" s="62"/>
      <c r="Z833" s="62"/>
      <c r="AA833" s="62"/>
      <c r="AB833" s="63"/>
      <c r="AC833" s="62" t="str">
        <f t="shared" si="2"/>
        <v/>
      </c>
    </row>
    <row r="834">
      <c r="U834" s="62" t="str">
        <f>IFERROR(__xludf.DUMMYFUNCTION("""COMPUTED_VALUE"""),"N/A")</f>
        <v>N/A</v>
      </c>
      <c r="V834" s="62" t="str">
        <f>IFERROR(__xludf.DUMMYFUNCTION("SPLIT(U834,"" "")"),"N/A")</f>
        <v>N/A</v>
      </c>
      <c r="W834" s="62"/>
      <c r="X834" s="62"/>
      <c r="Y834" s="62"/>
      <c r="Z834" s="62"/>
      <c r="AA834" s="62"/>
      <c r="AB834" s="63"/>
      <c r="AC834" s="62" t="str">
        <f t="shared" si="2"/>
        <v/>
      </c>
    </row>
    <row r="835">
      <c r="U835" s="62" t="str">
        <f>IFERROR(__xludf.DUMMYFUNCTION("""COMPUTED_VALUE"""),"N/A")</f>
        <v>N/A</v>
      </c>
      <c r="V835" s="62" t="str">
        <f>IFERROR(__xludf.DUMMYFUNCTION("SPLIT(U835,"" "")"),"N/A")</f>
        <v>N/A</v>
      </c>
      <c r="W835" s="62"/>
      <c r="X835" s="62"/>
      <c r="Y835" s="62"/>
      <c r="Z835" s="62"/>
      <c r="AA835" s="62"/>
      <c r="AB835" s="63"/>
      <c r="AC835" s="62" t="str">
        <f t="shared" si="2"/>
        <v/>
      </c>
    </row>
    <row r="836">
      <c r="U836" s="62" t="str">
        <f>IFERROR(__xludf.DUMMYFUNCTION("""COMPUTED_VALUE"""),"N/A")</f>
        <v>N/A</v>
      </c>
      <c r="V836" s="62" t="str">
        <f>IFERROR(__xludf.DUMMYFUNCTION("SPLIT(U836,"" "")"),"N/A")</f>
        <v>N/A</v>
      </c>
      <c r="W836" s="62"/>
      <c r="X836" s="62"/>
      <c r="Y836" s="62"/>
      <c r="Z836" s="62"/>
      <c r="AA836" s="62"/>
      <c r="AB836" s="63"/>
      <c r="AC836" s="62" t="str">
        <f t="shared" si="2"/>
        <v/>
      </c>
    </row>
    <row r="837">
      <c r="U837" s="62" t="str">
        <f>IFERROR(__xludf.DUMMYFUNCTION("""COMPUTED_VALUE"""),"N/A")</f>
        <v>N/A</v>
      </c>
      <c r="V837" s="62" t="str">
        <f>IFERROR(__xludf.DUMMYFUNCTION("SPLIT(U837,"" "")"),"N/A")</f>
        <v>N/A</v>
      </c>
      <c r="W837" s="62"/>
      <c r="X837" s="62"/>
      <c r="Y837" s="62"/>
      <c r="Z837" s="62"/>
      <c r="AA837" s="62"/>
      <c r="AB837" s="63"/>
      <c r="AC837" s="62" t="str">
        <f t="shared" si="2"/>
        <v/>
      </c>
    </row>
    <row r="838">
      <c r="U838" s="62" t="str">
        <f>IFERROR(__xludf.DUMMYFUNCTION("""COMPUTED_VALUE"""),"N/A")</f>
        <v>N/A</v>
      </c>
      <c r="V838" s="62" t="str">
        <f>IFERROR(__xludf.DUMMYFUNCTION("SPLIT(U838,"" "")"),"N/A")</f>
        <v>N/A</v>
      </c>
      <c r="W838" s="62"/>
      <c r="X838" s="62"/>
      <c r="Y838" s="62"/>
      <c r="Z838" s="62"/>
      <c r="AA838" s="62"/>
      <c r="AB838" s="63"/>
      <c r="AC838" s="62" t="str">
        <f t="shared" si="2"/>
        <v/>
      </c>
    </row>
    <row r="839">
      <c r="U839" s="62" t="str">
        <f>IFERROR(__xludf.DUMMYFUNCTION("""COMPUTED_VALUE"""),"N/A")</f>
        <v>N/A</v>
      </c>
      <c r="V839" s="62" t="str">
        <f>IFERROR(__xludf.DUMMYFUNCTION("SPLIT(U839,"" "")"),"N/A")</f>
        <v>N/A</v>
      </c>
      <c r="W839" s="62"/>
      <c r="X839" s="62"/>
      <c r="Y839" s="62"/>
      <c r="Z839" s="62"/>
      <c r="AA839" s="62"/>
      <c r="AB839" s="63"/>
      <c r="AC839" s="62" t="str">
        <f t="shared" si="2"/>
        <v/>
      </c>
    </row>
    <row r="840">
      <c r="U840" s="62" t="str">
        <f>IFERROR(__xludf.DUMMYFUNCTION("""COMPUTED_VALUE"""),"N/A")</f>
        <v>N/A</v>
      </c>
      <c r="V840" s="62" t="str">
        <f>IFERROR(__xludf.DUMMYFUNCTION("SPLIT(U840,"" "")"),"N/A")</f>
        <v>N/A</v>
      </c>
      <c r="W840" s="62"/>
      <c r="X840" s="62"/>
      <c r="Y840" s="62"/>
      <c r="Z840" s="62"/>
      <c r="AA840" s="62"/>
      <c r="AB840" s="63"/>
      <c r="AC840" s="62" t="str">
        <f t="shared" si="2"/>
        <v/>
      </c>
    </row>
    <row r="841">
      <c r="U841" s="62" t="str">
        <f>IFERROR(__xludf.DUMMYFUNCTION("""COMPUTED_VALUE"""),"N/A")</f>
        <v>N/A</v>
      </c>
      <c r="V841" s="62" t="str">
        <f>IFERROR(__xludf.DUMMYFUNCTION("SPLIT(U841,"" "")"),"N/A")</f>
        <v>N/A</v>
      </c>
      <c r="W841" s="62"/>
      <c r="X841" s="62"/>
      <c r="Y841" s="62"/>
      <c r="Z841" s="62"/>
      <c r="AA841" s="62"/>
      <c r="AB841" s="63"/>
      <c r="AC841" s="62" t="str">
        <f t="shared" si="2"/>
        <v/>
      </c>
    </row>
    <row r="842">
      <c r="U842" s="62" t="str">
        <f>IFERROR(__xludf.DUMMYFUNCTION("""COMPUTED_VALUE"""),"5 Hinox Toenail")</f>
        <v>5 Hinox Toenail</v>
      </c>
      <c r="V842" s="62">
        <f>IFERROR(__xludf.DUMMYFUNCTION("SPLIT(U842,"" "")"),5.0)</f>
        <v>5</v>
      </c>
      <c r="W842" s="62" t="str">
        <f>IFERROR(__xludf.DUMMYFUNCTION("""COMPUTED_VALUE"""),"Hinox")</f>
        <v>Hinox</v>
      </c>
      <c r="X842" s="62" t="str">
        <f>IFERROR(__xludf.DUMMYFUNCTION("""COMPUTED_VALUE"""),"Toenail")</f>
        <v>Toenail</v>
      </c>
      <c r="Y842" s="62"/>
      <c r="Z842" s="62"/>
      <c r="AA842" s="62"/>
      <c r="AB842" s="63"/>
      <c r="AC842" s="62" t="str">
        <f t="shared" si="2"/>
        <v>Hinox Toenail</v>
      </c>
    </row>
    <row r="843">
      <c r="U843" s="62" t="str">
        <f>IFERROR(__xludf.DUMMYFUNCTION("""COMPUTED_VALUE"""),"1 Dinraal's Scale")</f>
        <v>1 Dinraal's Scale</v>
      </c>
      <c r="V843" s="62">
        <f>IFERROR(__xludf.DUMMYFUNCTION("SPLIT(U843,"" "")"),1.0)</f>
        <v>1</v>
      </c>
      <c r="W843" s="62" t="str">
        <f>IFERROR(__xludf.DUMMYFUNCTION("""COMPUTED_VALUE"""),"Dinraal's")</f>
        <v>Dinraal's</v>
      </c>
      <c r="X843" s="62" t="str">
        <f>IFERROR(__xludf.DUMMYFUNCTION("""COMPUTED_VALUE"""),"Scale")</f>
        <v>Scale</v>
      </c>
      <c r="Y843" s="62"/>
      <c r="Z843" s="62"/>
      <c r="AA843" s="62"/>
      <c r="AB843" s="63"/>
      <c r="AC843" s="62" t="str">
        <f t="shared" si="2"/>
        <v>Dinraal's Scale</v>
      </c>
    </row>
    <row r="844">
      <c r="U844" s="62" t="str">
        <f>IFERROR(__xludf.DUMMYFUNCTION("""COMPUTED_VALUE"""),"5 Hinox Tooth")</f>
        <v>5 Hinox Tooth</v>
      </c>
      <c r="V844" s="62">
        <f>IFERROR(__xludf.DUMMYFUNCTION("SPLIT(U844,"" "")"),5.0)</f>
        <v>5</v>
      </c>
      <c r="W844" s="62" t="str">
        <f>IFERROR(__xludf.DUMMYFUNCTION("""COMPUTED_VALUE"""),"Hinox")</f>
        <v>Hinox</v>
      </c>
      <c r="X844" s="62" t="str">
        <f>IFERROR(__xludf.DUMMYFUNCTION("""COMPUTED_VALUE"""),"Tooth")</f>
        <v>Tooth</v>
      </c>
      <c r="Y844" s="62"/>
      <c r="Z844" s="62"/>
      <c r="AA844" s="62"/>
      <c r="AB844" s="63"/>
      <c r="AC844" s="62" t="str">
        <f t="shared" si="2"/>
        <v>Hinox Tooth</v>
      </c>
    </row>
    <row r="845">
      <c r="U845" s="62" t="str">
        <f>IFERROR(__xludf.DUMMYFUNCTION("""COMPUTED_VALUE"""),"1 Dinraal's Claw")</f>
        <v>1 Dinraal's Claw</v>
      </c>
      <c r="V845" s="62">
        <f>IFERROR(__xludf.DUMMYFUNCTION("SPLIT(U845,"" "")"),1.0)</f>
        <v>1</v>
      </c>
      <c r="W845" s="62" t="str">
        <f>IFERROR(__xludf.DUMMYFUNCTION("""COMPUTED_VALUE"""),"Dinraal's")</f>
        <v>Dinraal's</v>
      </c>
      <c r="X845" s="62" t="str">
        <f>IFERROR(__xludf.DUMMYFUNCTION("""COMPUTED_VALUE"""),"Claw")</f>
        <v>Claw</v>
      </c>
      <c r="Y845" s="62"/>
      <c r="Z845" s="62"/>
      <c r="AA845" s="62"/>
      <c r="AB845" s="63"/>
      <c r="AC845" s="62" t="str">
        <f t="shared" si="2"/>
        <v>Dinraal's Claw</v>
      </c>
    </row>
    <row r="846">
      <c r="U846" s="62" t="str">
        <f>IFERROR(__xludf.DUMMYFUNCTION("""COMPUTED_VALUE"""),"2 Hinox Guts")</f>
        <v>2 Hinox Guts</v>
      </c>
      <c r="V846" s="62">
        <f>IFERROR(__xludf.DUMMYFUNCTION("SPLIT(U846,"" "")"),2.0)</f>
        <v>2</v>
      </c>
      <c r="W846" s="62" t="str">
        <f>IFERROR(__xludf.DUMMYFUNCTION("""COMPUTED_VALUE"""),"Hinox")</f>
        <v>Hinox</v>
      </c>
      <c r="X846" s="62" t="str">
        <f>IFERROR(__xludf.DUMMYFUNCTION("""COMPUTED_VALUE"""),"Guts")</f>
        <v>Guts</v>
      </c>
      <c r="Y846" s="62"/>
      <c r="Z846" s="62"/>
      <c r="AA846" s="62"/>
      <c r="AB846" s="63"/>
      <c r="AC846" s="62" t="str">
        <f t="shared" si="2"/>
        <v>Hinox Guts</v>
      </c>
    </row>
    <row r="847">
      <c r="U847" s="62" t="str">
        <f>IFERROR(__xludf.DUMMYFUNCTION("""COMPUTED_VALUE"""),"1 Shard of Dinraal's Fang")</f>
        <v>1 Shard of Dinraal's Fang</v>
      </c>
      <c r="V847" s="62">
        <f>IFERROR(__xludf.DUMMYFUNCTION("SPLIT(U847,"" "")"),1.0)</f>
        <v>1</v>
      </c>
      <c r="W847" s="62" t="str">
        <f>IFERROR(__xludf.DUMMYFUNCTION("""COMPUTED_VALUE"""),"Shard")</f>
        <v>Shard</v>
      </c>
      <c r="X847" s="62" t="str">
        <f>IFERROR(__xludf.DUMMYFUNCTION("""COMPUTED_VALUE"""),"of")</f>
        <v>of</v>
      </c>
      <c r="Y847" s="62" t="str">
        <f>IFERROR(__xludf.DUMMYFUNCTION("""COMPUTED_VALUE"""),"Dinraal's")</f>
        <v>Dinraal's</v>
      </c>
      <c r="Z847" s="62" t="str">
        <f>IFERROR(__xludf.DUMMYFUNCTION("""COMPUTED_VALUE"""),"Fang")</f>
        <v>Fang</v>
      </c>
      <c r="AA847" s="62"/>
      <c r="AB847" s="63"/>
      <c r="AC847" s="62" t="str">
        <f t="shared" si="2"/>
        <v>Shard of Dinraal's Fang</v>
      </c>
    </row>
    <row r="848">
      <c r="U848" s="62" t="str">
        <f>IFERROR(__xludf.DUMMYFUNCTION("""COMPUTED_VALUE"""),"2 Lynel Guts")</f>
        <v>2 Lynel Guts</v>
      </c>
      <c r="V848" s="62">
        <f>IFERROR(__xludf.DUMMYFUNCTION("SPLIT(U848,"" "")"),2.0)</f>
        <v>2</v>
      </c>
      <c r="W848" s="62" t="str">
        <f>IFERROR(__xludf.DUMMYFUNCTION("""COMPUTED_VALUE"""),"Lynel")</f>
        <v>Lynel</v>
      </c>
      <c r="X848" s="62" t="str">
        <f>IFERROR(__xludf.DUMMYFUNCTION("""COMPUTED_VALUE"""),"Guts")</f>
        <v>Guts</v>
      </c>
      <c r="Y848" s="62"/>
      <c r="Z848" s="62"/>
      <c r="AA848" s="62"/>
      <c r="AB848" s="63"/>
      <c r="AC848" s="62" t="str">
        <f t="shared" si="2"/>
        <v>Lynel Guts</v>
      </c>
    </row>
    <row r="849">
      <c r="U849" s="62" t="str">
        <f>IFERROR(__xludf.DUMMYFUNCTION("""COMPUTED_VALUE"""),"1 Dinraal's Horn")</f>
        <v>1 Dinraal's Horn</v>
      </c>
      <c r="V849" s="62">
        <f>IFERROR(__xludf.DUMMYFUNCTION("SPLIT(U849,"" "")"),1.0)</f>
        <v>1</v>
      </c>
      <c r="W849" s="62" t="str">
        <f>IFERROR(__xludf.DUMMYFUNCTION("""COMPUTED_VALUE"""),"Dinraal's")</f>
        <v>Dinraal's</v>
      </c>
      <c r="X849" s="62" t="str">
        <f>IFERROR(__xludf.DUMMYFUNCTION("""COMPUTED_VALUE"""),"Horn")</f>
        <v>Horn</v>
      </c>
      <c r="Y849" s="62"/>
      <c r="Z849" s="62"/>
      <c r="AA849" s="62"/>
      <c r="AB849" s="63"/>
      <c r="AC849" s="62" t="str">
        <f t="shared" si="2"/>
        <v>Dinraal's Horn</v>
      </c>
    </row>
    <row r="850">
      <c r="U850" s="62" t="str">
        <f>IFERROR(__xludf.DUMMYFUNCTION("""COMPUTED_VALUE"""),"5 Hinox Toenail")</f>
        <v>5 Hinox Toenail</v>
      </c>
      <c r="V850" s="62">
        <f>IFERROR(__xludf.DUMMYFUNCTION("SPLIT(U850,"" "")"),5.0)</f>
        <v>5</v>
      </c>
      <c r="W850" s="62" t="str">
        <f>IFERROR(__xludf.DUMMYFUNCTION("""COMPUTED_VALUE"""),"Hinox")</f>
        <v>Hinox</v>
      </c>
      <c r="X850" s="62" t="str">
        <f>IFERROR(__xludf.DUMMYFUNCTION("""COMPUTED_VALUE"""),"Toenail")</f>
        <v>Toenail</v>
      </c>
      <c r="Y850" s="62"/>
      <c r="Z850" s="62"/>
      <c r="AA850" s="62"/>
      <c r="AB850" s="63"/>
      <c r="AC850" s="62" t="str">
        <f t="shared" si="2"/>
        <v>Hinox Toenail</v>
      </c>
    </row>
    <row r="851">
      <c r="U851" s="62" t="str">
        <f>IFERROR(__xludf.DUMMYFUNCTION("""COMPUTED_VALUE"""),"1 Naydra's Scale")</f>
        <v>1 Naydra's Scale</v>
      </c>
      <c r="V851" s="62">
        <f>IFERROR(__xludf.DUMMYFUNCTION("SPLIT(U851,"" "")"),1.0)</f>
        <v>1</v>
      </c>
      <c r="W851" s="62" t="str">
        <f>IFERROR(__xludf.DUMMYFUNCTION("""COMPUTED_VALUE"""),"Naydra's")</f>
        <v>Naydra's</v>
      </c>
      <c r="X851" s="62" t="str">
        <f>IFERROR(__xludf.DUMMYFUNCTION("""COMPUTED_VALUE"""),"Scale")</f>
        <v>Scale</v>
      </c>
      <c r="Y851" s="62"/>
      <c r="Z851" s="62"/>
      <c r="AA851" s="62"/>
      <c r="AB851" s="63"/>
      <c r="AC851" s="62" t="str">
        <f t="shared" si="2"/>
        <v>Naydra's Scale</v>
      </c>
    </row>
    <row r="852">
      <c r="U852" s="62" t="str">
        <f>IFERROR(__xludf.DUMMYFUNCTION("""COMPUTED_VALUE"""),"5 Hinox Tooth")</f>
        <v>5 Hinox Tooth</v>
      </c>
      <c r="V852" s="62">
        <f>IFERROR(__xludf.DUMMYFUNCTION("SPLIT(U852,"" "")"),5.0)</f>
        <v>5</v>
      </c>
      <c r="W852" s="62" t="str">
        <f>IFERROR(__xludf.DUMMYFUNCTION("""COMPUTED_VALUE"""),"Hinox")</f>
        <v>Hinox</v>
      </c>
      <c r="X852" s="62" t="str">
        <f>IFERROR(__xludf.DUMMYFUNCTION("""COMPUTED_VALUE"""),"Tooth")</f>
        <v>Tooth</v>
      </c>
      <c r="Y852" s="62"/>
      <c r="Z852" s="62"/>
      <c r="AA852" s="62"/>
      <c r="AB852" s="63"/>
      <c r="AC852" s="62" t="str">
        <f t="shared" si="2"/>
        <v>Hinox Tooth</v>
      </c>
    </row>
    <row r="853">
      <c r="U853" s="62" t="str">
        <f>IFERROR(__xludf.DUMMYFUNCTION("""COMPUTED_VALUE"""),"1 Naydra's Claw")</f>
        <v>1 Naydra's Claw</v>
      </c>
      <c r="V853" s="62">
        <f>IFERROR(__xludf.DUMMYFUNCTION("SPLIT(U853,"" "")"),1.0)</f>
        <v>1</v>
      </c>
      <c r="W853" s="62" t="str">
        <f>IFERROR(__xludf.DUMMYFUNCTION("""COMPUTED_VALUE"""),"Naydra's")</f>
        <v>Naydra's</v>
      </c>
      <c r="X853" s="62" t="str">
        <f>IFERROR(__xludf.DUMMYFUNCTION("""COMPUTED_VALUE"""),"Claw")</f>
        <v>Claw</v>
      </c>
      <c r="Y853" s="62"/>
      <c r="Z853" s="62"/>
      <c r="AA853" s="62"/>
      <c r="AB853" s="63"/>
      <c r="AC853" s="62" t="str">
        <f t="shared" si="2"/>
        <v>Naydra's Claw</v>
      </c>
    </row>
    <row r="854">
      <c r="U854" s="62" t="str">
        <f>IFERROR(__xludf.DUMMYFUNCTION("""COMPUTED_VALUE"""),"2 Hinox Guts")</f>
        <v>2 Hinox Guts</v>
      </c>
      <c r="V854" s="62">
        <f>IFERROR(__xludf.DUMMYFUNCTION("SPLIT(U854,"" "")"),2.0)</f>
        <v>2</v>
      </c>
      <c r="W854" s="62" t="str">
        <f>IFERROR(__xludf.DUMMYFUNCTION("""COMPUTED_VALUE"""),"Hinox")</f>
        <v>Hinox</v>
      </c>
      <c r="X854" s="62" t="str">
        <f>IFERROR(__xludf.DUMMYFUNCTION("""COMPUTED_VALUE"""),"Guts")</f>
        <v>Guts</v>
      </c>
      <c r="Y854" s="62"/>
      <c r="Z854" s="62"/>
      <c r="AA854" s="62"/>
      <c r="AB854" s="63"/>
      <c r="AC854" s="62" t="str">
        <f t="shared" si="2"/>
        <v>Hinox Guts</v>
      </c>
    </row>
    <row r="855">
      <c r="U855" s="62" t="str">
        <f>IFERROR(__xludf.DUMMYFUNCTION("""COMPUTED_VALUE"""),"1 Shard of Naydra's Fang")</f>
        <v>1 Shard of Naydra's Fang</v>
      </c>
      <c r="V855" s="62">
        <f>IFERROR(__xludf.DUMMYFUNCTION("SPLIT(U855,"" "")"),1.0)</f>
        <v>1</v>
      </c>
      <c r="W855" s="62" t="str">
        <f>IFERROR(__xludf.DUMMYFUNCTION("""COMPUTED_VALUE"""),"Shard")</f>
        <v>Shard</v>
      </c>
      <c r="X855" s="62" t="str">
        <f>IFERROR(__xludf.DUMMYFUNCTION("""COMPUTED_VALUE"""),"of")</f>
        <v>of</v>
      </c>
      <c r="Y855" s="62" t="str">
        <f>IFERROR(__xludf.DUMMYFUNCTION("""COMPUTED_VALUE"""),"Naydra's")</f>
        <v>Naydra's</v>
      </c>
      <c r="Z855" s="62" t="str">
        <f>IFERROR(__xludf.DUMMYFUNCTION("""COMPUTED_VALUE"""),"Fang")</f>
        <v>Fang</v>
      </c>
      <c r="AA855" s="62"/>
      <c r="AB855" s="63"/>
      <c r="AC855" s="62" t="str">
        <f t="shared" si="2"/>
        <v>Shard of Naydra's Fang</v>
      </c>
    </row>
    <row r="856">
      <c r="U856" s="62" t="str">
        <f>IFERROR(__xludf.DUMMYFUNCTION("""COMPUTED_VALUE"""),"2 Lynel Guts")</f>
        <v>2 Lynel Guts</v>
      </c>
      <c r="V856" s="62">
        <f>IFERROR(__xludf.DUMMYFUNCTION("SPLIT(U856,"" "")"),2.0)</f>
        <v>2</v>
      </c>
      <c r="W856" s="62" t="str">
        <f>IFERROR(__xludf.DUMMYFUNCTION("""COMPUTED_VALUE"""),"Lynel")</f>
        <v>Lynel</v>
      </c>
      <c r="X856" s="62" t="str">
        <f>IFERROR(__xludf.DUMMYFUNCTION("""COMPUTED_VALUE"""),"Guts")</f>
        <v>Guts</v>
      </c>
      <c r="Y856" s="62"/>
      <c r="Z856" s="62"/>
      <c r="AA856" s="62"/>
      <c r="AB856" s="63"/>
      <c r="AC856" s="62" t="str">
        <f t="shared" si="2"/>
        <v>Lynel Guts</v>
      </c>
    </row>
    <row r="857">
      <c r="U857" s="62" t="str">
        <f>IFERROR(__xludf.DUMMYFUNCTION("""COMPUTED_VALUE"""),"1 Naydra's Horn")</f>
        <v>1 Naydra's Horn</v>
      </c>
      <c r="V857" s="62">
        <f>IFERROR(__xludf.DUMMYFUNCTION("SPLIT(U857,"" "")"),1.0)</f>
        <v>1</v>
      </c>
      <c r="W857" s="62" t="str">
        <f>IFERROR(__xludf.DUMMYFUNCTION("""COMPUTED_VALUE"""),"Naydra's")</f>
        <v>Naydra's</v>
      </c>
      <c r="X857" s="62" t="str">
        <f>IFERROR(__xludf.DUMMYFUNCTION("""COMPUTED_VALUE"""),"Horn")</f>
        <v>Horn</v>
      </c>
      <c r="Y857" s="62"/>
      <c r="Z857" s="62"/>
      <c r="AA857" s="62"/>
      <c r="AB857" s="63"/>
      <c r="AC857" s="62" t="str">
        <f t="shared" si="2"/>
        <v>Naydra's Horn</v>
      </c>
    </row>
    <row r="858">
      <c r="U858" s="62" t="str">
        <f>IFERROR(__xludf.DUMMYFUNCTION("""COMPUTED_VALUE"""),"5 Hinox Toenail")</f>
        <v>5 Hinox Toenail</v>
      </c>
      <c r="V858" s="62">
        <f>IFERROR(__xludf.DUMMYFUNCTION("SPLIT(U858,"" "")"),5.0)</f>
        <v>5</v>
      </c>
      <c r="W858" s="62" t="str">
        <f>IFERROR(__xludf.DUMMYFUNCTION("""COMPUTED_VALUE"""),"Hinox")</f>
        <v>Hinox</v>
      </c>
      <c r="X858" s="62" t="str">
        <f>IFERROR(__xludf.DUMMYFUNCTION("""COMPUTED_VALUE"""),"Toenail")</f>
        <v>Toenail</v>
      </c>
      <c r="Y858" s="62"/>
      <c r="Z858" s="62"/>
      <c r="AA858" s="62"/>
      <c r="AB858" s="63"/>
      <c r="AC858" s="62" t="str">
        <f t="shared" si="2"/>
        <v>Hinox Toenail</v>
      </c>
    </row>
    <row r="859">
      <c r="U859" s="62" t="str">
        <f>IFERROR(__xludf.DUMMYFUNCTION("""COMPUTED_VALUE"""),"1 Farosh's Scale")</f>
        <v>1 Farosh's Scale</v>
      </c>
      <c r="V859" s="62">
        <f>IFERROR(__xludf.DUMMYFUNCTION("SPLIT(U859,"" "")"),1.0)</f>
        <v>1</v>
      </c>
      <c r="W859" s="62" t="str">
        <f>IFERROR(__xludf.DUMMYFUNCTION("""COMPUTED_VALUE"""),"Farosh's")</f>
        <v>Farosh's</v>
      </c>
      <c r="X859" s="62" t="str">
        <f>IFERROR(__xludf.DUMMYFUNCTION("""COMPUTED_VALUE"""),"Scale")</f>
        <v>Scale</v>
      </c>
      <c r="Y859" s="62"/>
      <c r="Z859" s="62"/>
      <c r="AA859" s="62"/>
      <c r="AB859" s="63"/>
      <c r="AC859" s="62" t="str">
        <f t="shared" si="2"/>
        <v>Farosh's Scale</v>
      </c>
    </row>
    <row r="860">
      <c r="U860" s="62" t="str">
        <f>IFERROR(__xludf.DUMMYFUNCTION("""COMPUTED_VALUE"""),"5 Hinox Tooth")</f>
        <v>5 Hinox Tooth</v>
      </c>
      <c r="V860" s="62">
        <f>IFERROR(__xludf.DUMMYFUNCTION("SPLIT(U860,"" "")"),5.0)</f>
        <v>5</v>
      </c>
      <c r="W860" s="62" t="str">
        <f>IFERROR(__xludf.DUMMYFUNCTION("""COMPUTED_VALUE"""),"Hinox")</f>
        <v>Hinox</v>
      </c>
      <c r="X860" s="62" t="str">
        <f>IFERROR(__xludf.DUMMYFUNCTION("""COMPUTED_VALUE"""),"Tooth")</f>
        <v>Tooth</v>
      </c>
      <c r="Y860" s="62"/>
      <c r="Z860" s="62"/>
      <c r="AA860" s="62"/>
      <c r="AB860" s="63"/>
      <c r="AC860" s="62" t="str">
        <f t="shared" si="2"/>
        <v>Hinox Tooth</v>
      </c>
    </row>
    <row r="861">
      <c r="U861" s="62" t="str">
        <f>IFERROR(__xludf.DUMMYFUNCTION("""COMPUTED_VALUE"""),"1 Farosh's Claw")</f>
        <v>1 Farosh's Claw</v>
      </c>
      <c r="V861" s="62">
        <f>IFERROR(__xludf.DUMMYFUNCTION("SPLIT(U861,"" "")"),1.0)</f>
        <v>1</v>
      </c>
      <c r="W861" s="62" t="str">
        <f>IFERROR(__xludf.DUMMYFUNCTION("""COMPUTED_VALUE"""),"Farosh's")</f>
        <v>Farosh's</v>
      </c>
      <c r="X861" s="62" t="str">
        <f>IFERROR(__xludf.DUMMYFUNCTION("""COMPUTED_VALUE"""),"Claw")</f>
        <v>Claw</v>
      </c>
      <c r="Y861" s="62"/>
      <c r="Z861" s="62"/>
      <c r="AA861" s="62"/>
      <c r="AB861" s="63"/>
      <c r="AC861" s="62" t="str">
        <f t="shared" si="2"/>
        <v>Farosh's Claw</v>
      </c>
    </row>
    <row r="862">
      <c r="U862" s="62" t="str">
        <f>IFERROR(__xludf.DUMMYFUNCTION("""COMPUTED_VALUE"""),"2 Hinox Guts")</f>
        <v>2 Hinox Guts</v>
      </c>
      <c r="V862" s="62">
        <f>IFERROR(__xludf.DUMMYFUNCTION("SPLIT(U862,"" "")"),2.0)</f>
        <v>2</v>
      </c>
      <c r="W862" s="62" t="str">
        <f>IFERROR(__xludf.DUMMYFUNCTION("""COMPUTED_VALUE"""),"Hinox")</f>
        <v>Hinox</v>
      </c>
      <c r="X862" s="62" t="str">
        <f>IFERROR(__xludf.DUMMYFUNCTION("""COMPUTED_VALUE"""),"Guts")</f>
        <v>Guts</v>
      </c>
      <c r="Y862" s="62"/>
      <c r="Z862" s="62"/>
      <c r="AA862" s="62"/>
      <c r="AB862" s="63"/>
      <c r="AC862" s="62" t="str">
        <f t="shared" si="2"/>
        <v>Hinox Guts</v>
      </c>
    </row>
    <row r="863">
      <c r="U863" s="62" t="str">
        <f>IFERROR(__xludf.DUMMYFUNCTION("""COMPUTED_VALUE"""),"1 Shard of Farosh's Fang")</f>
        <v>1 Shard of Farosh's Fang</v>
      </c>
      <c r="V863" s="62">
        <f>IFERROR(__xludf.DUMMYFUNCTION("SPLIT(U863,"" "")"),1.0)</f>
        <v>1</v>
      </c>
      <c r="W863" s="62" t="str">
        <f>IFERROR(__xludf.DUMMYFUNCTION("""COMPUTED_VALUE"""),"Shard")</f>
        <v>Shard</v>
      </c>
      <c r="X863" s="62" t="str">
        <f>IFERROR(__xludf.DUMMYFUNCTION("""COMPUTED_VALUE"""),"of")</f>
        <v>of</v>
      </c>
      <c r="Y863" s="62" t="str">
        <f>IFERROR(__xludf.DUMMYFUNCTION("""COMPUTED_VALUE"""),"Farosh's")</f>
        <v>Farosh's</v>
      </c>
      <c r="Z863" s="62" t="str">
        <f>IFERROR(__xludf.DUMMYFUNCTION("""COMPUTED_VALUE"""),"Fang")</f>
        <v>Fang</v>
      </c>
      <c r="AA863" s="62"/>
      <c r="AB863" s="63"/>
      <c r="AC863" s="62" t="str">
        <f t="shared" si="2"/>
        <v>Shard of Farosh's Fang</v>
      </c>
    </row>
    <row r="864">
      <c r="U864" s="62" t="str">
        <f>IFERROR(__xludf.DUMMYFUNCTION("""COMPUTED_VALUE"""),"2 Lynel Guts")</f>
        <v>2 Lynel Guts</v>
      </c>
      <c r="V864" s="62">
        <f>IFERROR(__xludf.DUMMYFUNCTION("SPLIT(U864,"" "")"),2.0)</f>
        <v>2</v>
      </c>
      <c r="W864" s="62" t="str">
        <f>IFERROR(__xludf.DUMMYFUNCTION("""COMPUTED_VALUE"""),"Lynel")</f>
        <v>Lynel</v>
      </c>
      <c r="X864" s="62" t="str">
        <f>IFERROR(__xludf.DUMMYFUNCTION("""COMPUTED_VALUE"""),"Guts")</f>
        <v>Guts</v>
      </c>
      <c r="Y864" s="62"/>
      <c r="Z864" s="62"/>
      <c r="AA864" s="62"/>
      <c r="AB864" s="63"/>
      <c r="AC864" s="62" t="str">
        <f t="shared" si="2"/>
        <v>Lynel Guts</v>
      </c>
    </row>
    <row r="865">
      <c r="U865" s="62" t="str">
        <f>IFERROR(__xludf.DUMMYFUNCTION("""COMPUTED_VALUE"""),"1 Farosh's Horn")</f>
        <v>1 Farosh's Horn</v>
      </c>
      <c r="V865" s="62">
        <f>IFERROR(__xludf.DUMMYFUNCTION("SPLIT(U865,"" "")"),1.0)</f>
        <v>1</v>
      </c>
      <c r="W865" s="62" t="str">
        <f>IFERROR(__xludf.DUMMYFUNCTION("""COMPUTED_VALUE"""),"Farosh's")</f>
        <v>Farosh's</v>
      </c>
      <c r="X865" s="62" t="str">
        <f>IFERROR(__xludf.DUMMYFUNCTION("""COMPUTED_VALUE"""),"Horn")</f>
        <v>Horn</v>
      </c>
      <c r="Y865" s="62"/>
      <c r="Z865" s="62"/>
      <c r="AA865" s="62"/>
      <c r="AB865" s="63"/>
      <c r="AC865" s="62" t="str">
        <f t="shared" si="2"/>
        <v>Farosh's Horn</v>
      </c>
    </row>
    <row r="866">
      <c r="U866" s="62" t="str">
        <f>IFERROR(__xludf.DUMMYFUNCTION("""COMPUTED_VALUE"""),"10 Luminous Stone")</f>
        <v>10 Luminous Stone</v>
      </c>
      <c r="V866" s="62">
        <f>IFERROR(__xludf.DUMMYFUNCTION("SPLIT(U866,"" "")"),10.0)</f>
        <v>10</v>
      </c>
      <c r="W866" s="62" t="str">
        <f>IFERROR(__xludf.DUMMYFUNCTION("""COMPUTED_VALUE"""),"Luminous")</f>
        <v>Luminous</v>
      </c>
      <c r="X866" s="62" t="str">
        <f>IFERROR(__xludf.DUMMYFUNCTION("""COMPUTED_VALUE"""),"Stone")</f>
        <v>Stone</v>
      </c>
      <c r="Y866" s="62"/>
      <c r="Z866" s="62"/>
      <c r="AA866" s="62"/>
      <c r="AB866" s="63"/>
      <c r="AC866" s="62" t="str">
        <f t="shared" si="2"/>
        <v>Luminous Stone</v>
      </c>
    </row>
    <row r="867">
      <c r="U867" s="62" t="str">
        <f>IFERROR(__xludf.DUMMYFUNCTION("""COMPUTED_VALUE"""),"1 Star Fragment")</f>
        <v>1 Star Fragment</v>
      </c>
      <c r="V867" s="62">
        <f>IFERROR(__xludf.DUMMYFUNCTION("SPLIT(U867,"" "")"),1.0)</f>
        <v>1</v>
      </c>
      <c r="W867" s="62" t="str">
        <f>IFERROR(__xludf.DUMMYFUNCTION("""COMPUTED_VALUE"""),"Star")</f>
        <v>Star</v>
      </c>
      <c r="X867" s="62" t="str">
        <f>IFERROR(__xludf.DUMMYFUNCTION("""COMPUTED_VALUE"""),"Fragment")</f>
        <v>Fragment</v>
      </c>
      <c r="Y867" s="62"/>
      <c r="Z867" s="62"/>
      <c r="AA867" s="62"/>
      <c r="AB867" s="63"/>
      <c r="AC867" s="62" t="str">
        <f t="shared" si="2"/>
        <v>Star Fragment</v>
      </c>
    </row>
    <row r="868">
      <c r="U868" s="62" t="str">
        <f>IFERROR(__xludf.DUMMYFUNCTION("""COMPUTED_VALUE"""),"15 Luminous Stone")</f>
        <v>15 Luminous Stone</v>
      </c>
      <c r="V868" s="62">
        <f>IFERROR(__xludf.DUMMYFUNCTION("SPLIT(U868,"" "")"),15.0)</f>
        <v>15</v>
      </c>
      <c r="W868" s="62" t="str">
        <f>IFERROR(__xludf.DUMMYFUNCTION("""COMPUTED_VALUE"""),"Luminous")</f>
        <v>Luminous</v>
      </c>
      <c r="X868" s="62" t="str">
        <f>IFERROR(__xludf.DUMMYFUNCTION("""COMPUTED_VALUE"""),"Stone")</f>
        <v>Stone</v>
      </c>
      <c r="Y868" s="62"/>
      <c r="Z868" s="62"/>
      <c r="AA868" s="62"/>
      <c r="AB868" s="63"/>
      <c r="AC868" s="62" t="str">
        <f t="shared" si="2"/>
        <v>Luminous Stone</v>
      </c>
    </row>
    <row r="869">
      <c r="U869" s="62" t="str">
        <f>IFERROR(__xludf.DUMMYFUNCTION("""COMPUTED_VALUE"""),"1 Star Fragment")</f>
        <v>1 Star Fragment</v>
      </c>
      <c r="V869" s="62">
        <f>IFERROR(__xludf.DUMMYFUNCTION("SPLIT(U869,"" "")"),1.0)</f>
        <v>1</v>
      </c>
      <c r="W869" s="62" t="str">
        <f>IFERROR(__xludf.DUMMYFUNCTION("""COMPUTED_VALUE"""),"Star")</f>
        <v>Star</v>
      </c>
      <c r="X869" s="62" t="str">
        <f>IFERROR(__xludf.DUMMYFUNCTION("""COMPUTED_VALUE"""),"Fragment")</f>
        <v>Fragment</v>
      </c>
      <c r="Y869" s="62"/>
      <c r="Z869" s="62"/>
      <c r="AA869" s="62"/>
      <c r="AB869" s="63"/>
      <c r="AC869" s="62" t="str">
        <f t="shared" si="2"/>
        <v>Star Fragment</v>
      </c>
    </row>
    <row r="870">
      <c r="U870" s="62" t="str">
        <f>IFERROR(__xludf.DUMMYFUNCTION("""COMPUTED_VALUE"""),"20 Luminous Stone")</f>
        <v>20 Luminous Stone</v>
      </c>
      <c r="V870" s="62">
        <f>IFERROR(__xludf.DUMMYFUNCTION("SPLIT(U870,"" "")"),20.0)</f>
        <v>20</v>
      </c>
      <c r="W870" s="62" t="str">
        <f>IFERROR(__xludf.DUMMYFUNCTION("""COMPUTED_VALUE"""),"Luminous")</f>
        <v>Luminous</v>
      </c>
      <c r="X870" s="62" t="str">
        <f>IFERROR(__xludf.DUMMYFUNCTION("""COMPUTED_VALUE"""),"Stone")</f>
        <v>Stone</v>
      </c>
      <c r="Y870" s="62"/>
      <c r="Z870" s="62"/>
      <c r="AA870" s="62"/>
      <c r="AB870" s="63"/>
      <c r="AC870" s="62" t="str">
        <f t="shared" si="2"/>
        <v>Luminous Stone</v>
      </c>
    </row>
    <row r="871">
      <c r="U871" s="62" t="str">
        <f>IFERROR(__xludf.DUMMYFUNCTION("""COMPUTED_VALUE"""),"1 Star Fragment")</f>
        <v>1 Star Fragment</v>
      </c>
      <c r="V871" s="62">
        <f>IFERROR(__xludf.DUMMYFUNCTION("SPLIT(U871,"" "")"),1.0)</f>
        <v>1</v>
      </c>
      <c r="W871" s="62" t="str">
        <f>IFERROR(__xludf.DUMMYFUNCTION("""COMPUTED_VALUE"""),"Star")</f>
        <v>Star</v>
      </c>
      <c r="X871" s="62" t="str">
        <f>IFERROR(__xludf.DUMMYFUNCTION("""COMPUTED_VALUE"""),"Fragment")</f>
        <v>Fragment</v>
      </c>
      <c r="Y871" s="62"/>
      <c r="Z871" s="62"/>
      <c r="AA871" s="62"/>
      <c r="AB871" s="63"/>
      <c r="AC871" s="62" t="str">
        <f t="shared" si="2"/>
        <v>Star Fragment</v>
      </c>
    </row>
    <row r="872">
      <c r="U872" s="62" t="str">
        <f>IFERROR(__xludf.DUMMYFUNCTION("""COMPUTED_VALUE"""),"30 Luminous Stone")</f>
        <v>30 Luminous Stone</v>
      </c>
      <c r="V872" s="62">
        <f>IFERROR(__xludf.DUMMYFUNCTION("SPLIT(U872,"" "")"),30.0)</f>
        <v>30</v>
      </c>
      <c r="W872" s="62" t="str">
        <f>IFERROR(__xludf.DUMMYFUNCTION("""COMPUTED_VALUE"""),"Luminous")</f>
        <v>Luminous</v>
      </c>
      <c r="X872" s="62" t="str">
        <f>IFERROR(__xludf.DUMMYFUNCTION("""COMPUTED_VALUE"""),"Stone")</f>
        <v>Stone</v>
      </c>
      <c r="Y872" s="62"/>
      <c r="Z872" s="62"/>
      <c r="AA872" s="62"/>
      <c r="AB872" s="63"/>
      <c r="AC872" s="62" t="str">
        <f t="shared" si="2"/>
        <v>Luminous Stone</v>
      </c>
    </row>
    <row r="873">
      <c r="U873" s="62" t="str">
        <f>IFERROR(__xludf.DUMMYFUNCTION("""COMPUTED_VALUE"""),"1 Star Fragment")</f>
        <v>1 Star Fragment</v>
      </c>
      <c r="V873" s="62">
        <f>IFERROR(__xludf.DUMMYFUNCTION("SPLIT(U873,"" "")"),1.0)</f>
        <v>1</v>
      </c>
      <c r="W873" s="62" t="str">
        <f>IFERROR(__xludf.DUMMYFUNCTION("""COMPUTED_VALUE"""),"Star")</f>
        <v>Star</v>
      </c>
      <c r="X873" s="62" t="str">
        <f>IFERROR(__xludf.DUMMYFUNCTION("""COMPUTED_VALUE"""),"Fragment")</f>
        <v>Fragment</v>
      </c>
      <c r="Y873" s="62"/>
      <c r="Z873" s="62"/>
      <c r="AA873" s="62"/>
      <c r="AB873" s="63"/>
      <c r="AC873" s="62" t="str">
        <f t="shared" si="2"/>
        <v>Star Fragment</v>
      </c>
    </row>
    <row r="874">
      <c r="U874" s="62" t="str">
        <f>IFERROR(__xludf.DUMMYFUNCTION("""COMPUTED_VALUE"""),"10 Luminous Stone")</f>
        <v>10 Luminous Stone</v>
      </c>
      <c r="V874" s="62">
        <f>IFERROR(__xludf.DUMMYFUNCTION("SPLIT(U874,"" "")"),10.0)</f>
        <v>10</v>
      </c>
      <c r="W874" s="62" t="str">
        <f>IFERROR(__xludf.DUMMYFUNCTION("""COMPUTED_VALUE"""),"Luminous")</f>
        <v>Luminous</v>
      </c>
      <c r="X874" s="62" t="str">
        <f>IFERROR(__xludf.DUMMYFUNCTION("""COMPUTED_VALUE"""),"Stone")</f>
        <v>Stone</v>
      </c>
      <c r="Y874" s="62"/>
      <c r="Z874" s="62"/>
      <c r="AA874" s="62"/>
      <c r="AB874" s="63"/>
      <c r="AC874" s="62" t="str">
        <f t="shared" si="2"/>
        <v>Luminous Stone</v>
      </c>
    </row>
    <row r="875">
      <c r="U875" s="62" t="str">
        <f>IFERROR(__xludf.DUMMYFUNCTION("""COMPUTED_VALUE"""),"1 Star Fragment")</f>
        <v>1 Star Fragment</v>
      </c>
      <c r="V875" s="62">
        <f>IFERROR(__xludf.DUMMYFUNCTION("SPLIT(U875,"" "")"),1.0)</f>
        <v>1</v>
      </c>
      <c r="W875" s="62" t="str">
        <f>IFERROR(__xludf.DUMMYFUNCTION("""COMPUTED_VALUE"""),"Star")</f>
        <v>Star</v>
      </c>
      <c r="X875" s="62" t="str">
        <f>IFERROR(__xludf.DUMMYFUNCTION("""COMPUTED_VALUE"""),"Fragment")</f>
        <v>Fragment</v>
      </c>
      <c r="Y875" s="62"/>
      <c r="Z875" s="62"/>
      <c r="AA875" s="62"/>
      <c r="AB875" s="63"/>
      <c r="AC875" s="62" t="str">
        <f t="shared" si="2"/>
        <v>Star Fragment</v>
      </c>
    </row>
    <row r="876">
      <c r="U876" s="62" t="str">
        <f>IFERROR(__xludf.DUMMYFUNCTION("""COMPUTED_VALUE"""),"15 Luminous Stone")</f>
        <v>15 Luminous Stone</v>
      </c>
      <c r="V876" s="62">
        <f>IFERROR(__xludf.DUMMYFUNCTION("SPLIT(U876,"" "")"),15.0)</f>
        <v>15</v>
      </c>
      <c r="W876" s="62" t="str">
        <f>IFERROR(__xludf.DUMMYFUNCTION("""COMPUTED_VALUE"""),"Luminous")</f>
        <v>Luminous</v>
      </c>
      <c r="X876" s="62" t="str">
        <f>IFERROR(__xludf.DUMMYFUNCTION("""COMPUTED_VALUE"""),"Stone")</f>
        <v>Stone</v>
      </c>
      <c r="Y876" s="62"/>
      <c r="Z876" s="62"/>
      <c r="AA876" s="62"/>
      <c r="AB876" s="63"/>
      <c r="AC876" s="62" t="str">
        <f t="shared" si="2"/>
        <v>Luminous Stone</v>
      </c>
    </row>
    <row r="877">
      <c r="U877" s="62" t="str">
        <f>IFERROR(__xludf.DUMMYFUNCTION("""COMPUTED_VALUE"""),"1 Star Fragment")</f>
        <v>1 Star Fragment</v>
      </c>
      <c r="V877" s="62">
        <f>IFERROR(__xludf.DUMMYFUNCTION("SPLIT(U877,"" "")"),1.0)</f>
        <v>1</v>
      </c>
      <c r="W877" s="62" t="str">
        <f>IFERROR(__xludf.DUMMYFUNCTION("""COMPUTED_VALUE"""),"Star")</f>
        <v>Star</v>
      </c>
      <c r="X877" s="62" t="str">
        <f>IFERROR(__xludf.DUMMYFUNCTION("""COMPUTED_VALUE"""),"Fragment")</f>
        <v>Fragment</v>
      </c>
      <c r="Y877" s="62"/>
      <c r="Z877" s="62"/>
      <c r="AA877" s="62"/>
      <c r="AB877" s="63"/>
      <c r="AC877" s="62" t="str">
        <f t="shared" si="2"/>
        <v>Star Fragment</v>
      </c>
    </row>
    <row r="878">
      <c r="U878" s="62" t="str">
        <f>IFERROR(__xludf.DUMMYFUNCTION("""COMPUTED_VALUE"""),"20 Luminous Stone")</f>
        <v>20 Luminous Stone</v>
      </c>
      <c r="V878" s="62">
        <f>IFERROR(__xludf.DUMMYFUNCTION("SPLIT(U878,"" "")"),20.0)</f>
        <v>20</v>
      </c>
      <c r="W878" s="62" t="str">
        <f>IFERROR(__xludf.DUMMYFUNCTION("""COMPUTED_VALUE"""),"Luminous")</f>
        <v>Luminous</v>
      </c>
      <c r="X878" s="62" t="str">
        <f>IFERROR(__xludf.DUMMYFUNCTION("""COMPUTED_VALUE"""),"Stone")</f>
        <v>Stone</v>
      </c>
      <c r="Y878" s="62"/>
      <c r="Z878" s="62"/>
      <c r="AA878" s="62"/>
      <c r="AB878" s="63"/>
      <c r="AC878" s="62" t="str">
        <f t="shared" si="2"/>
        <v>Luminous Stone</v>
      </c>
    </row>
    <row r="879">
      <c r="U879" s="62" t="str">
        <f>IFERROR(__xludf.DUMMYFUNCTION("""COMPUTED_VALUE"""),"1 Star Fragment")</f>
        <v>1 Star Fragment</v>
      </c>
      <c r="V879" s="62">
        <f>IFERROR(__xludf.DUMMYFUNCTION("SPLIT(U879,"" "")"),1.0)</f>
        <v>1</v>
      </c>
      <c r="W879" s="62" t="str">
        <f>IFERROR(__xludf.DUMMYFUNCTION("""COMPUTED_VALUE"""),"Star")</f>
        <v>Star</v>
      </c>
      <c r="X879" s="62" t="str">
        <f>IFERROR(__xludf.DUMMYFUNCTION("""COMPUTED_VALUE"""),"Fragment")</f>
        <v>Fragment</v>
      </c>
      <c r="Y879" s="62"/>
      <c r="Z879" s="62"/>
      <c r="AA879" s="62"/>
      <c r="AB879" s="63"/>
      <c r="AC879" s="62" t="str">
        <f t="shared" si="2"/>
        <v>Star Fragment</v>
      </c>
    </row>
    <row r="880">
      <c r="U880" s="62" t="str">
        <f>IFERROR(__xludf.DUMMYFUNCTION("""COMPUTED_VALUE"""),"30 Luminous Stone")</f>
        <v>30 Luminous Stone</v>
      </c>
      <c r="V880" s="62">
        <f>IFERROR(__xludf.DUMMYFUNCTION("SPLIT(U880,"" "")"),30.0)</f>
        <v>30</v>
      </c>
      <c r="W880" s="62" t="str">
        <f>IFERROR(__xludf.DUMMYFUNCTION("""COMPUTED_VALUE"""),"Luminous")</f>
        <v>Luminous</v>
      </c>
      <c r="X880" s="62" t="str">
        <f>IFERROR(__xludf.DUMMYFUNCTION("""COMPUTED_VALUE"""),"Stone")</f>
        <v>Stone</v>
      </c>
      <c r="Y880" s="62"/>
      <c r="Z880" s="62"/>
      <c r="AA880" s="62"/>
      <c r="AB880" s="63"/>
      <c r="AC880" s="62" t="str">
        <f t="shared" si="2"/>
        <v>Luminous Stone</v>
      </c>
    </row>
    <row r="881">
      <c r="U881" s="62" t="str">
        <f>IFERROR(__xludf.DUMMYFUNCTION("""COMPUTED_VALUE"""),"1 Star Fragment")</f>
        <v>1 Star Fragment</v>
      </c>
      <c r="V881" s="62">
        <f>IFERROR(__xludf.DUMMYFUNCTION("SPLIT(U881,"" "")"),1.0)</f>
        <v>1</v>
      </c>
      <c r="W881" s="62" t="str">
        <f>IFERROR(__xludf.DUMMYFUNCTION("""COMPUTED_VALUE"""),"Star")</f>
        <v>Star</v>
      </c>
      <c r="X881" s="62" t="str">
        <f>IFERROR(__xludf.DUMMYFUNCTION("""COMPUTED_VALUE"""),"Fragment")</f>
        <v>Fragment</v>
      </c>
      <c r="Y881" s="62"/>
      <c r="Z881" s="62"/>
      <c r="AA881" s="62"/>
      <c r="AB881" s="63"/>
      <c r="AC881" s="62" t="str">
        <f t="shared" si="2"/>
        <v>Star Fragment</v>
      </c>
    </row>
    <row r="882">
      <c r="U882" s="62" t="str">
        <f>IFERROR(__xludf.DUMMYFUNCTION("""COMPUTED_VALUE"""),"10 Luminous Stone")</f>
        <v>10 Luminous Stone</v>
      </c>
      <c r="V882" s="62">
        <f>IFERROR(__xludf.DUMMYFUNCTION("SPLIT(U882,"" "")"),10.0)</f>
        <v>10</v>
      </c>
      <c r="W882" s="62" t="str">
        <f>IFERROR(__xludf.DUMMYFUNCTION("""COMPUTED_VALUE"""),"Luminous")</f>
        <v>Luminous</v>
      </c>
      <c r="X882" s="62" t="str">
        <f>IFERROR(__xludf.DUMMYFUNCTION("""COMPUTED_VALUE"""),"Stone")</f>
        <v>Stone</v>
      </c>
      <c r="Y882" s="62"/>
      <c r="Z882" s="62"/>
      <c r="AA882" s="62"/>
      <c r="AB882" s="63"/>
      <c r="AC882" s="62" t="str">
        <f t="shared" si="2"/>
        <v>Luminous Stone</v>
      </c>
    </row>
    <row r="883">
      <c r="U883" s="62" t="str">
        <f>IFERROR(__xludf.DUMMYFUNCTION("""COMPUTED_VALUE"""),"1 Star Fragment")</f>
        <v>1 Star Fragment</v>
      </c>
      <c r="V883" s="62">
        <f>IFERROR(__xludf.DUMMYFUNCTION("SPLIT(U883,"" "")"),1.0)</f>
        <v>1</v>
      </c>
      <c r="W883" s="62" t="str">
        <f>IFERROR(__xludf.DUMMYFUNCTION("""COMPUTED_VALUE"""),"Star")</f>
        <v>Star</v>
      </c>
      <c r="X883" s="62" t="str">
        <f>IFERROR(__xludf.DUMMYFUNCTION("""COMPUTED_VALUE"""),"Fragment")</f>
        <v>Fragment</v>
      </c>
      <c r="Y883" s="62"/>
      <c r="Z883" s="62"/>
      <c r="AA883" s="62"/>
      <c r="AB883" s="63"/>
      <c r="AC883" s="62" t="str">
        <f t="shared" si="2"/>
        <v>Star Fragment</v>
      </c>
    </row>
    <row r="884">
      <c r="U884" s="62" t="str">
        <f>IFERROR(__xludf.DUMMYFUNCTION("""COMPUTED_VALUE"""),"15 Luminous Stone")</f>
        <v>15 Luminous Stone</v>
      </c>
      <c r="V884" s="62">
        <f>IFERROR(__xludf.DUMMYFUNCTION("SPLIT(U884,"" "")"),15.0)</f>
        <v>15</v>
      </c>
      <c r="W884" s="62" t="str">
        <f>IFERROR(__xludf.DUMMYFUNCTION("""COMPUTED_VALUE"""),"Luminous")</f>
        <v>Luminous</v>
      </c>
      <c r="X884" s="62" t="str">
        <f>IFERROR(__xludf.DUMMYFUNCTION("""COMPUTED_VALUE"""),"Stone")</f>
        <v>Stone</v>
      </c>
      <c r="Y884" s="62"/>
      <c r="Z884" s="62"/>
      <c r="AA884" s="62"/>
      <c r="AB884" s="63"/>
      <c r="AC884" s="62" t="str">
        <f t="shared" si="2"/>
        <v>Luminous Stone</v>
      </c>
    </row>
    <row r="885">
      <c r="U885" s="62" t="str">
        <f>IFERROR(__xludf.DUMMYFUNCTION("""COMPUTED_VALUE"""),"1 Star Fragment")</f>
        <v>1 Star Fragment</v>
      </c>
      <c r="V885" s="62">
        <f>IFERROR(__xludf.DUMMYFUNCTION("SPLIT(U885,"" "")"),1.0)</f>
        <v>1</v>
      </c>
      <c r="W885" s="62" t="str">
        <f>IFERROR(__xludf.DUMMYFUNCTION("""COMPUTED_VALUE"""),"Star")</f>
        <v>Star</v>
      </c>
      <c r="X885" s="62" t="str">
        <f>IFERROR(__xludf.DUMMYFUNCTION("""COMPUTED_VALUE"""),"Fragment")</f>
        <v>Fragment</v>
      </c>
      <c r="Y885" s="62"/>
      <c r="Z885" s="62"/>
      <c r="AA885" s="62"/>
      <c r="AB885" s="63"/>
      <c r="AC885" s="62" t="str">
        <f t="shared" si="2"/>
        <v>Star Fragment</v>
      </c>
    </row>
    <row r="886">
      <c r="U886" s="62" t="str">
        <f>IFERROR(__xludf.DUMMYFUNCTION("""COMPUTED_VALUE"""),"20 Luminous Stone")</f>
        <v>20 Luminous Stone</v>
      </c>
      <c r="V886" s="62">
        <f>IFERROR(__xludf.DUMMYFUNCTION("SPLIT(U886,"" "")"),20.0)</f>
        <v>20</v>
      </c>
      <c r="W886" s="62" t="str">
        <f>IFERROR(__xludf.DUMMYFUNCTION("""COMPUTED_VALUE"""),"Luminous")</f>
        <v>Luminous</v>
      </c>
      <c r="X886" s="62" t="str">
        <f>IFERROR(__xludf.DUMMYFUNCTION("""COMPUTED_VALUE"""),"Stone")</f>
        <v>Stone</v>
      </c>
      <c r="Y886" s="62"/>
      <c r="Z886" s="62"/>
      <c r="AA886" s="62"/>
      <c r="AB886" s="63"/>
      <c r="AC886" s="62" t="str">
        <f t="shared" si="2"/>
        <v>Luminous Stone</v>
      </c>
    </row>
    <row r="887">
      <c r="U887" s="62" t="str">
        <f>IFERROR(__xludf.DUMMYFUNCTION("""COMPUTED_VALUE"""),"1 Star Fragment")</f>
        <v>1 Star Fragment</v>
      </c>
      <c r="V887" s="62">
        <f>IFERROR(__xludf.DUMMYFUNCTION("SPLIT(U887,"" "")"),1.0)</f>
        <v>1</v>
      </c>
      <c r="W887" s="62" t="str">
        <f>IFERROR(__xludf.DUMMYFUNCTION("""COMPUTED_VALUE"""),"Star")</f>
        <v>Star</v>
      </c>
      <c r="X887" s="62" t="str">
        <f>IFERROR(__xludf.DUMMYFUNCTION("""COMPUTED_VALUE"""),"Fragment")</f>
        <v>Fragment</v>
      </c>
      <c r="Y887" s="62"/>
      <c r="Z887" s="62"/>
      <c r="AA887" s="62"/>
      <c r="AB887" s="63"/>
      <c r="AC887" s="62" t="str">
        <f t="shared" si="2"/>
        <v>Star Fragment</v>
      </c>
    </row>
    <row r="888">
      <c r="U888" s="62" t="str">
        <f>IFERROR(__xludf.DUMMYFUNCTION("""COMPUTED_VALUE"""),"30 Luminous Stone")</f>
        <v>30 Luminous Stone</v>
      </c>
      <c r="V888" s="62">
        <f>IFERROR(__xludf.DUMMYFUNCTION("SPLIT(U888,"" "")"),30.0)</f>
        <v>30</v>
      </c>
      <c r="W888" s="62" t="str">
        <f>IFERROR(__xludf.DUMMYFUNCTION("""COMPUTED_VALUE"""),"Luminous")</f>
        <v>Luminous</v>
      </c>
      <c r="X888" s="62" t="str">
        <f>IFERROR(__xludf.DUMMYFUNCTION("""COMPUTED_VALUE"""),"Stone")</f>
        <v>Stone</v>
      </c>
      <c r="Y888" s="62"/>
      <c r="Z888" s="62"/>
      <c r="AA888" s="62"/>
      <c r="AB888" s="63"/>
      <c r="AC888" s="62" t="str">
        <f t="shared" si="2"/>
        <v>Luminous Stone</v>
      </c>
    </row>
    <row r="889">
      <c r="U889" s="62" t="str">
        <f>IFERROR(__xludf.DUMMYFUNCTION("""COMPUTED_VALUE"""),"1 Star Fragment")</f>
        <v>1 Star Fragment</v>
      </c>
      <c r="V889" s="62">
        <f>IFERROR(__xludf.DUMMYFUNCTION("SPLIT(U889,"" "")"),1.0)</f>
        <v>1</v>
      </c>
      <c r="W889" s="62" t="str">
        <f>IFERROR(__xludf.DUMMYFUNCTION("""COMPUTED_VALUE"""),"Star")</f>
        <v>Star</v>
      </c>
      <c r="X889" s="62" t="str">
        <f>IFERROR(__xludf.DUMMYFUNCTION("""COMPUTED_VALUE"""),"Fragment")</f>
        <v>Fragment</v>
      </c>
      <c r="Y889" s="62"/>
      <c r="Z889" s="62"/>
      <c r="AA889" s="62"/>
      <c r="AB889" s="63"/>
      <c r="AC889" s="62" t="str">
        <f t="shared" si="2"/>
        <v>Star Fragment</v>
      </c>
    </row>
    <row r="890">
      <c r="U890" s="62" t="str">
        <f>IFERROR(__xludf.DUMMYFUNCTION("""COMPUTED_VALUE"""),"10 Acorn")</f>
        <v>10 Acorn</v>
      </c>
      <c r="V890" s="62">
        <f>IFERROR(__xludf.DUMMYFUNCTION("SPLIT(U890,"" "")"),10.0)</f>
        <v>10</v>
      </c>
      <c r="W890" s="62" t="str">
        <f>IFERROR(__xludf.DUMMYFUNCTION("""COMPUTED_VALUE"""),"Acorn")</f>
        <v>Acorn</v>
      </c>
      <c r="X890" s="62"/>
      <c r="Y890" s="62"/>
      <c r="Z890" s="62"/>
      <c r="AA890" s="62"/>
      <c r="AB890" s="63"/>
      <c r="AC890" s="62" t="str">
        <f t="shared" si="2"/>
        <v>Acorn</v>
      </c>
    </row>
    <row r="891">
      <c r="U891" s="62" t="str">
        <f>IFERROR(__xludf.DUMMYFUNCTION("""COMPUTED_VALUE"""),"2 Farosh's Scale")</f>
        <v>2 Farosh's Scale</v>
      </c>
      <c r="V891" s="62">
        <f>IFERROR(__xludf.DUMMYFUNCTION("SPLIT(U891,"" "")"),2.0)</f>
        <v>2</v>
      </c>
      <c r="W891" s="62" t="str">
        <f>IFERROR(__xludf.DUMMYFUNCTION("""COMPUTED_VALUE"""),"Farosh's")</f>
        <v>Farosh's</v>
      </c>
      <c r="X891" s="62" t="str">
        <f>IFERROR(__xludf.DUMMYFUNCTION("""COMPUTED_VALUE"""),"Scale")</f>
        <v>Scale</v>
      </c>
      <c r="Y891" s="62"/>
      <c r="Z891" s="62"/>
      <c r="AA891" s="62"/>
      <c r="AB891" s="63"/>
      <c r="AC891" s="62" t="str">
        <f t="shared" si="2"/>
        <v>Farosh's Scale</v>
      </c>
    </row>
    <row r="892">
      <c r="U892" s="62" t="str">
        <f>IFERROR(__xludf.DUMMYFUNCTION("""COMPUTED_VALUE"""),"5 Courser Bee Honey")</f>
        <v>5 Courser Bee Honey</v>
      </c>
      <c r="V892" s="62">
        <f>IFERROR(__xludf.DUMMYFUNCTION("SPLIT(U892,"" "")"),5.0)</f>
        <v>5</v>
      </c>
      <c r="W892" s="62" t="str">
        <f>IFERROR(__xludf.DUMMYFUNCTION("""COMPUTED_VALUE"""),"Courser")</f>
        <v>Courser</v>
      </c>
      <c r="X892" s="62" t="str">
        <f>IFERROR(__xludf.DUMMYFUNCTION("""COMPUTED_VALUE"""),"Bee")</f>
        <v>Bee</v>
      </c>
      <c r="Y892" s="62" t="str">
        <f>IFERROR(__xludf.DUMMYFUNCTION("""COMPUTED_VALUE"""),"Honey")</f>
        <v>Honey</v>
      </c>
      <c r="Z892" s="62"/>
      <c r="AA892" s="62"/>
      <c r="AB892" s="63"/>
      <c r="AC892" s="62" t="str">
        <f t="shared" si="2"/>
        <v>Courser Bee Honey</v>
      </c>
    </row>
    <row r="893">
      <c r="U893" s="62" t="str">
        <f>IFERROR(__xludf.DUMMYFUNCTION("""COMPUTED_VALUE"""),"2 Farosh's Claw")</f>
        <v>2 Farosh's Claw</v>
      </c>
      <c r="V893" s="62">
        <f>IFERROR(__xludf.DUMMYFUNCTION("SPLIT(U893,"" "")"),2.0)</f>
        <v>2</v>
      </c>
      <c r="W893" s="62" t="str">
        <f>IFERROR(__xludf.DUMMYFUNCTION("""COMPUTED_VALUE"""),"Farosh's")</f>
        <v>Farosh's</v>
      </c>
      <c r="X893" s="62" t="str">
        <f>IFERROR(__xludf.DUMMYFUNCTION("""COMPUTED_VALUE"""),"Claw")</f>
        <v>Claw</v>
      </c>
      <c r="Y893" s="62"/>
      <c r="Z893" s="62"/>
      <c r="AA893" s="62"/>
      <c r="AB893" s="63"/>
      <c r="AC893" s="62" t="str">
        <f t="shared" si="2"/>
        <v>Farosh's Claw</v>
      </c>
    </row>
    <row r="894">
      <c r="U894" s="62" t="str">
        <f>IFERROR(__xludf.DUMMYFUNCTION("""COMPUTED_VALUE"""),"3 Energetic Rhino Beetle")</f>
        <v>3 Energetic Rhino Beetle</v>
      </c>
      <c r="V894" s="62">
        <f>IFERROR(__xludf.DUMMYFUNCTION("SPLIT(U894,"" "")"),3.0)</f>
        <v>3</v>
      </c>
      <c r="W894" s="62" t="str">
        <f>IFERROR(__xludf.DUMMYFUNCTION("""COMPUTED_VALUE"""),"Energetic")</f>
        <v>Energetic</v>
      </c>
      <c r="X894" s="62" t="str">
        <f>IFERROR(__xludf.DUMMYFUNCTION("""COMPUTED_VALUE"""),"Rhino")</f>
        <v>Rhino</v>
      </c>
      <c r="Y894" s="62" t="str">
        <f>IFERROR(__xludf.DUMMYFUNCTION("""COMPUTED_VALUE"""),"Beetle")</f>
        <v>Beetle</v>
      </c>
      <c r="Z894" s="62"/>
      <c r="AA894" s="62"/>
      <c r="AB894" s="63"/>
      <c r="AC894" s="62" t="str">
        <f t="shared" si="2"/>
        <v>Energetic Rhino Beetle</v>
      </c>
    </row>
    <row r="895">
      <c r="U895" s="62" t="str">
        <f>IFERROR(__xludf.DUMMYFUNCTION("""COMPUTED_VALUE"""),"2 Shard of Farosh's Fang")</f>
        <v>2 Shard of Farosh's Fang</v>
      </c>
      <c r="V895" s="62">
        <f>IFERROR(__xludf.DUMMYFUNCTION("SPLIT(U895,"" "")"),2.0)</f>
        <v>2</v>
      </c>
      <c r="W895" s="62" t="str">
        <f>IFERROR(__xludf.DUMMYFUNCTION("""COMPUTED_VALUE"""),"Shard")</f>
        <v>Shard</v>
      </c>
      <c r="X895" s="62" t="str">
        <f>IFERROR(__xludf.DUMMYFUNCTION("""COMPUTED_VALUE"""),"of")</f>
        <v>of</v>
      </c>
      <c r="Y895" s="62" t="str">
        <f>IFERROR(__xludf.DUMMYFUNCTION("""COMPUTED_VALUE"""),"Farosh's")</f>
        <v>Farosh's</v>
      </c>
      <c r="Z895" s="62" t="str">
        <f>IFERROR(__xludf.DUMMYFUNCTION("""COMPUTED_VALUE"""),"Fang")</f>
        <v>Fang</v>
      </c>
      <c r="AA895" s="62"/>
      <c r="AB895" s="63"/>
      <c r="AC895" s="62" t="str">
        <f t="shared" si="2"/>
        <v>Shard of Farosh's Fang</v>
      </c>
    </row>
    <row r="896">
      <c r="U896" s="62" t="str">
        <f>IFERROR(__xludf.DUMMYFUNCTION("""COMPUTED_VALUE"""),"5 Shard of Farosh's Spike")</f>
        <v>5 Shard of Farosh's Spike</v>
      </c>
      <c r="V896" s="62">
        <f>IFERROR(__xludf.DUMMYFUNCTION("SPLIT(U896,"" "")"),5.0)</f>
        <v>5</v>
      </c>
      <c r="W896" s="62" t="str">
        <f>IFERROR(__xludf.DUMMYFUNCTION("""COMPUTED_VALUE"""),"Shard")</f>
        <v>Shard</v>
      </c>
      <c r="X896" s="62" t="str">
        <f>IFERROR(__xludf.DUMMYFUNCTION("""COMPUTED_VALUE"""),"of")</f>
        <v>of</v>
      </c>
      <c r="Y896" s="62" t="str">
        <f>IFERROR(__xludf.DUMMYFUNCTION("""COMPUTED_VALUE"""),"Farosh's")</f>
        <v>Farosh's</v>
      </c>
      <c r="Z896" s="62" t="str">
        <f>IFERROR(__xludf.DUMMYFUNCTION("""COMPUTED_VALUE"""),"Spike")</f>
        <v>Spike</v>
      </c>
      <c r="AA896" s="62"/>
      <c r="AB896" s="63"/>
      <c r="AC896" s="62" t="str">
        <f t="shared" si="2"/>
        <v>Shard of Farosh's Spike</v>
      </c>
    </row>
    <row r="897">
      <c r="U897" s="62" t="str">
        <f>IFERROR(__xludf.DUMMYFUNCTION("""COMPUTED_VALUE"""),"3 Star Fragment")</f>
        <v>3 Star Fragment</v>
      </c>
      <c r="V897" s="62">
        <f>IFERROR(__xludf.DUMMYFUNCTION("SPLIT(U897,"" "")"),3.0)</f>
        <v>3</v>
      </c>
      <c r="W897" s="62" t="str">
        <f>IFERROR(__xludf.DUMMYFUNCTION("""COMPUTED_VALUE"""),"Star")</f>
        <v>Star</v>
      </c>
      <c r="X897" s="62" t="str">
        <f>IFERROR(__xludf.DUMMYFUNCTION("""COMPUTED_VALUE"""),"Fragment")</f>
        <v>Fragment</v>
      </c>
      <c r="Y897" s="62"/>
      <c r="Z897" s="62"/>
      <c r="AA897" s="62"/>
      <c r="AB897" s="63"/>
      <c r="AC897" s="62" t="str">
        <f t="shared" si="2"/>
        <v>Star Fragment</v>
      </c>
    </row>
    <row r="898">
      <c r="U898" s="62" t="str">
        <f>IFERROR(__xludf.DUMMYFUNCTION("""COMPUTED_VALUE"""),"2 Farosh's Horn")</f>
        <v>2 Farosh's Horn</v>
      </c>
      <c r="V898" s="62">
        <f>IFERROR(__xludf.DUMMYFUNCTION("SPLIT(U898,"" "")"),2.0)</f>
        <v>2</v>
      </c>
      <c r="W898" s="62" t="str">
        <f>IFERROR(__xludf.DUMMYFUNCTION("""COMPUTED_VALUE"""),"Farosh's")</f>
        <v>Farosh's</v>
      </c>
      <c r="X898" s="62" t="str">
        <f>IFERROR(__xludf.DUMMYFUNCTION("""COMPUTED_VALUE"""),"Horn")</f>
        <v>Horn</v>
      </c>
      <c r="Y898" s="62"/>
      <c r="Z898" s="62"/>
      <c r="AA898" s="62"/>
      <c r="AB898" s="63"/>
      <c r="AC898" s="62" t="str">
        <f t="shared" si="2"/>
        <v>Farosh's Horn</v>
      </c>
    </row>
    <row r="899">
      <c r="U899" s="62" t="str">
        <f>IFERROR(__xludf.DUMMYFUNCTION("""COMPUTED_VALUE"""),"10 Shard of Farosh's Spike")</f>
        <v>10 Shard of Farosh's Spike</v>
      </c>
      <c r="V899" s="62">
        <f>IFERROR(__xludf.DUMMYFUNCTION("SPLIT(U899,"" "")"),10.0)</f>
        <v>10</v>
      </c>
      <c r="W899" s="62" t="str">
        <f>IFERROR(__xludf.DUMMYFUNCTION("""COMPUTED_VALUE"""),"Shard")</f>
        <v>Shard</v>
      </c>
      <c r="X899" s="62" t="str">
        <f>IFERROR(__xludf.DUMMYFUNCTION("""COMPUTED_VALUE"""),"of")</f>
        <v>of</v>
      </c>
      <c r="Y899" s="62" t="str">
        <f>IFERROR(__xludf.DUMMYFUNCTION("""COMPUTED_VALUE"""),"Farosh's")</f>
        <v>Farosh's</v>
      </c>
      <c r="Z899" s="62" t="str">
        <f>IFERROR(__xludf.DUMMYFUNCTION("""COMPUTED_VALUE"""),"Spike")</f>
        <v>Spike</v>
      </c>
      <c r="AA899" s="62"/>
      <c r="AB899" s="63"/>
      <c r="AC899" s="62" t="str">
        <f t="shared" si="2"/>
        <v>Shard of Farosh's Spike</v>
      </c>
    </row>
    <row r="900">
      <c r="U900" s="62" t="str">
        <f>IFERROR(__xludf.DUMMYFUNCTION("""COMPUTED_VALUE"""),"10 Acorn")</f>
        <v>10 Acorn</v>
      </c>
      <c r="V900" s="62">
        <f>IFERROR(__xludf.DUMMYFUNCTION("SPLIT(U900,"" "")"),10.0)</f>
        <v>10</v>
      </c>
      <c r="W900" s="62" t="str">
        <f>IFERROR(__xludf.DUMMYFUNCTION("""COMPUTED_VALUE"""),"Acorn")</f>
        <v>Acorn</v>
      </c>
      <c r="X900" s="62"/>
      <c r="Y900" s="62"/>
      <c r="Z900" s="62"/>
      <c r="AA900" s="62"/>
      <c r="AB900" s="63"/>
      <c r="AC900" s="62" t="str">
        <f t="shared" si="2"/>
        <v>Acorn</v>
      </c>
    </row>
    <row r="901">
      <c r="U901" s="62" t="str">
        <f>IFERROR(__xludf.DUMMYFUNCTION("""COMPUTED_VALUE"""),"2 Naydra's Scale")</f>
        <v>2 Naydra's Scale</v>
      </c>
      <c r="V901" s="62">
        <f>IFERROR(__xludf.DUMMYFUNCTION("SPLIT(U901,"" "")"),2.0)</f>
        <v>2</v>
      </c>
      <c r="W901" s="62" t="str">
        <f>IFERROR(__xludf.DUMMYFUNCTION("""COMPUTED_VALUE"""),"Naydra's")</f>
        <v>Naydra's</v>
      </c>
      <c r="X901" s="62" t="str">
        <f>IFERROR(__xludf.DUMMYFUNCTION("""COMPUTED_VALUE"""),"Scale")</f>
        <v>Scale</v>
      </c>
      <c r="Y901" s="62"/>
      <c r="Z901" s="62"/>
      <c r="AA901" s="62"/>
      <c r="AB901" s="63"/>
      <c r="AC901" s="62" t="str">
        <f t="shared" si="2"/>
        <v>Naydra's Scale</v>
      </c>
    </row>
    <row r="902">
      <c r="U902" s="62" t="str">
        <f>IFERROR(__xludf.DUMMYFUNCTION("""COMPUTED_VALUE"""),"5 Courser Bee Honey")</f>
        <v>5 Courser Bee Honey</v>
      </c>
      <c r="V902" s="62">
        <f>IFERROR(__xludf.DUMMYFUNCTION("SPLIT(U902,"" "")"),5.0)</f>
        <v>5</v>
      </c>
      <c r="W902" s="62" t="str">
        <f>IFERROR(__xludf.DUMMYFUNCTION("""COMPUTED_VALUE"""),"Courser")</f>
        <v>Courser</v>
      </c>
      <c r="X902" s="62" t="str">
        <f>IFERROR(__xludf.DUMMYFUNCTION("""COMPUTED_VALUE"""),"Bee")</f>
        <v>Bee</v>
      </c>
      <c r="Y902" s="62" t="str">
        <f>IFERROR(__xludf.DUMMYFUNCTION("""COMPUTED_VALUE"""),"Honey")</f>
        <v>Honey</v>
      </c>
      <c r="Z902" s="62"/>
      <c r="AA902" s="62"/>
      <c r="AB902" s="63"/>
      <c r="AC902" s="62" t="str">
        <f t="shared" si="2"/>
        <v>Courser Bee Honey</v>
      </c>
    </row>
    <row r="903">
      <c r="U903" s="62" t="str">
        <f>IFERROR(__xludf.DUMMYFUNCTION("""COMPUTED_VALUE"""),"2 Naydra's Claw")</f>
        <v>2 Naydra's Claw</v>
      </c>
      <c r="V903" s="62">
        <f>IFERROR(__xludf.DUMMYFUNCTION("SPLIT(U903,"" "")"),2.0)</f>
        <v>2</v>
      </c>
      <c r="W903" s="62" t="str">
        <f>IFERROR(__xludf.DUMMYFUNCTION("""COMPUTED_VALUE"""),"Naydra's")</f>
        <v>Naydra's</v>
      </c>
      <c r="X903" s="62" t="str">
        <f>IFERROR(__xludf.DUMMYFUNCTION("""COMPUTED_VALUE"""),"Claw")</f>
        <v>Claw</v>
      </c>
      <c r="Y903" s="62"/>
      <c r="Z903" s="62"/>
      <c r="AA903" s="62"/>
      <c r="AB903" s="63"/>
      <c r="AC903" s="62" t="str">
        <f t="shared" si="2"/>
        <v>Naydra's Claw</v>
      </c>
    </row>
    <row r="904">
      <c r="U904" s="62" t="str">
        <f>IFERROR(__xludf.DUMMYFUNCTION("""COMPUTED_VALUE"""),"3 Energetic Rhino Beetle")</f>
        <v>3 Energetic Rhino Beetle</v>
      </c>
      <c r="V904" s="62">
        <f>IFERROR(__xludf.DUMMYFUNCTION("SPLIT(U904,"" "")"),3.0)</f>
        <v>3</v>
      </c>
      <c r="W904" s="62" t="str">
        <f>IFERROR(__xludf.DUMMYFUNCTION("""COMPUTED_VALUE"""),"Energetic")</f>
        <v>Energetic</v>
      </c>
      <c r="X904" s="62" t="str">
        <f>IFERROR(__xludf.DUMMYFUNCTION("""COMPUTED_VALUE"""),"Rhino")</f>
        <v>Rhino</v>
      </c>
      <c r="Y904" s="62" t="str">
        <f>IFERROR(__xludf.DUMMYFUNCTION("""COMPUTED_VALUE"""),"Beetle")</f>
        <v>Beetle</v>
      </c>
      <c r="Z904" s="62"/>
      <c r="AA904" s="62"/>
      <c r="AB904" s="63"/>
      <c r="AC904" s="62" t="str">
        <f t="shared" si="2"/>
        <v>Energetic Rhino Beetle</v>
      </c>
    </row>
    <row r="905">
      <c r="U905" s="62" t="str">
        <f>IFERROR(__xludf.DUMMYFUNCTION("""COMPUTED_VALUE"""),"2 Shard of Naydra's Fang")</f>
        <v>2 Shard of Naydra's Fang</v>
      </c>
      <c r="V905" s="62">
        <f>IFERROR(__xludf.DUMMYFUNCTION("SPLIT(U905,"" "")"),2.0)</f>
        <v>2</v>
      </c>
      <c r="W905" s="62" t="str">
        <f>IFERROR(__xludf.DUMMYFUNCTION("""COMPUTED_VALUE"""),"Shard")</f>
        <v>Shard</v>
      </c>
      <c r="X905" s="62" t="str">
        <f>IFERROR(__xludf.DUMMYFUNCTION("""COMPUTED_VALUE"""),"of")</f>
        <v>of</v>
      </c>
      <c r="Y905" s="62" t="str">
        <f>IFERROR(__xludf.DUMMYFUNCTION("""COMPUTED_VALUE"""),"Naydra's")</f>
        <v>Naydra's</v>
      </c>
      <c r="Z905" s="62" t="str">
        <f>IFERROR(__xludf.DUMMYFUNCTION("""COMPUTED_VALUE"""),"Fang")</f>
        <v>Fang</v>
      </c>
      <c r="AA905" s="62"/>
      <c r="AB905" s="63"/>
      <c r="AC905" s="62" t="str">
        <f t="shared" si="2"/>
        <v>Shard of Naydra's Fang</v>
      </c>
    </row>
    <row r="906">
      <c r="U906" s="62" t="str">
        <f>IFERROR(__xludf.DUMMYFUNCTION("""COMPUTED_VALUE"""),"5 Shard of Naydra's Spike")</f>
        <v>5 Shard of Naydra's Spike</v>
      </c>
      <c r="V906" s="62">
        <f>IFERROR(__xludf.DUMMYFUNCTION("SPLIT(U906,"" "")"),5.0)</f>
        <v>5</v>
      </c>
      <c r="W906" s="62" t="str">
        <f>IFERROR(__xludf.DUMMYFUNCTION("""COMPUTED_VALUE"""),"Shard")</f>
        <v>Shard</v>
      </c>
      <c r="X906" s="62" t="str">
        <f>IFERROR(__xludf.DUMMYFUNCTION("""COMPUTED_VALUE"""),"of")</f>
        <v>of</v>
      </c>
      <c r="Y906" s="62" t="str">
        <f>IFERROR(__xludf.DUMMYFUNCTION("""COMPUTED_VALUE"""),"Naydra's")</f>
        <v>Naydra's</v>
      </c>
      <c r="Z906" s="62" t="str">
        <f>IFERROR(__xludf.DUMMYFUNCTION("""COMPUTED_VALUE"""),"Spike")</f>
        <v>Spike</v>
      </c>
      <c r="AA906" s="62"/>
      <c r="AB906" s="63"/>
      <c r="AC906" s="62" t="str">
        <f t="shared" si="2"/>
        <v>Shard of Naydra's Spike</v>
      </c>
    </row>
    <row r="907">
      <c r="U907" s="62" t="str">
        <f>IFERROR(__xludf.DUMMYFUNCTION("""COMPUTED_VALUE"""),"3 Star Fragment")</f>
        <v>3 Star Fragment</v>
      </c>
      <c r="V907" s="62">
        <f>IFERROR(__xludf.DUMMYFUNCTION("SPLIT(U907,"" "")"),3.0)</f>
        <v>3</v>
      </c>
      <c r="W907" s="62" t="str">
        <f>IFERROR(__xludf.DUMMYFUNCTION("""COMPUTED_VALUE"""),"Star")</f>
        <v>Star</v>
      </c>
      <c r="X907" s="62" t="str">
        <f>IFERROR(__xludf.DUMMYFUNCTION("""COMPUTED_VALUE"""),"Fragment")</f>
        <v>Fragment</v>
      </c>
      <c r="Y907" s="62"/>
      <c r="Z907" s="62"/>
      <c r="AA907" s="62"/>
      <c r="AB907" s="63"/>
      <c r="AC907" s="62" t="str">
        <f t="shared" si="2"/>
        <v>Star Fragment</v>
      </c>
    </row>
    <row r="908">
      <c r="U908" s="62" t="str">
        <f>IFERROR(__xludf.DUMMYFUNCTION("""COMPUTED_VALUE"""),"2 Naydra's Horn")</f>
        <v>2 Naydra's Horn</v>
      </c>
      <c r="V908" s="62">
        <f>IFERROR(__xludf.DUMMYFUNCTION("SPLIT(U908,"" "")"),2.0)</f>
        <v>2</v>
      </c>
      <c r="W908" s="62" t="str">
        <f>IFERROR(__xludf.DUMMYFUNCTION("""COMPUTED_VALUE"""),"Naydra's")</f>
        <v>Naydra's</v>
      </c>
      <c r="X908" s="62" t="str">
        <f>IFERROR(__xludf.DUMMYFUNCTION("""COMPUTED_VALUE"""),"Horn")</f>
        <v>Horn</v>
      </c>
      <c r="Y908" s="62"/>
      <c r="Z908" s="62"/>
      <c r="AA908" s="62"/>
      <c r="AB908" s="63"/>
      <c r="AC908" s="62" t="str">
        <f t="shared" si="2"/>
        <v>Naydra's Horn</v>
      </c>
    </row>
    <row r="909">
      <c r="U909" s="62" t="str">
        <f>IFERROR(__xludf.DUMMYFUNCTION("""COMPUTED_VALUE"""),"10 Shard of Naydra's Spike")</f>
        <v>10 Shard of Naydra's Spike</v>
      </c>
      <c r="V909" s="62">
        <f>IFERROR(__xludf.DUMMYFUNCTION("SPLIT(U909,"" "")"),10.0)</f>
        <v>10</v>
      </c>
      <c r="W909" s="62" t="str">
        <f>IFERROR(__xludf.DUMMYFUNCTION("""COMPUTED_VALUE"""),"Shard")</f>
        <v>Shard</v>
      </c>
      <c r="X909" s="62" t="str">
        <f>IFERROR(__xludf.DUMMYFUNCTION("""COMPUTED_VALUE"""),"of")</f>
        <v>of</v>
      </c>
      <c r="Y909" s="62" t="str">
        <f>IFERROR(__xludf.DUMMYFUNCTION("""COMPUTED_VALUE"""),"Naydra's")</f>
        <v>Naydra's</v>
      </c>
      <c r="Z909" s="62" t="str">
        <f>IFERROR(__xludf.DUMMYFUNCTION("""COMPUTED_VALUE"""),"Spike")</f>
        <v>Spike</v>
      </c>
      <c r="AA909" s="62"/>
      <c r="AB909" s="63"/>
      <c r="AC909" s="62" t="str">
        <f t="shared" si="2"/>
        <v>Shard of Naydra's Spike</v>
      </c>
    </row>
    <row r="910">
      <c r="U910" s="62" t="str">
        <f>IFERROR(__xludf.DUMMYFUNCTION("""COMPUTED_VALUE"""),"10 Acorn")</f>
        <v>10 Acorn</v>
      </c>
      <c r="V910" s="62">
        <f>IFERROR(__xludf.DUMMYFUNCTION("SPLIT(U910,"" "")"),10.0)</f>
        <v>10</v>
      </c>
      <c r="W910" s="62" t="str">
        <f>IFERROR(__xludf.DUMMYFUNCTION("""COMPUTED_VALUE"""),"Acorn")</f>
        <v>Acorn</v>
      </c>
      <c r="X910" s="62"/>
      <c r="Y910" s="62"/>
      <c r="Z910" s="62"/>
      <c r="AA910" s="62"/>
      <c r="AB910" s="63"/>
      <c r="AC910" s="62" t="str">
        <f t="shared" si="2"/>
        <v>Acorn</v>
      </c>
    </row>
    <row r="911">
      <c r="U911" s="62" t="str">
        <f>IFERROR(__xludf.DUMMYFUNCTION("""COMPUTED_VALUE"""),"2 Dinraal's Scale")</f>
        <v>2 Dinraal's Scale</v>
      </c>
      <c r="V911" s="62">
        <f>IFERROR(__xludf.DUMMYFUNCTION("SPLIT(U911,"" "")"),2.0)</f>
        <v>2</v>
      </c>
      <c r="W911" s="62" t="str">
        <f>IFERROR(__xludf.DUMMYFUNCTION("""COMPUTED_VALUE"""),"Dinraal's")</f>
        <v>Dinraal's</v>
      </c>
      <c r="X911" s="62" t="str">
        <f>IFERROR(__xludf.DUMMYFUNCTION("""COMPUTED_VALUE"""),"Scale")</f>
        <v>Scale</v>
      </c>
      <c r="Y911" s="62"/>
      <c r="Z911" s="62"/>
      <c r="AA911" s="62"/>
      <c r="AB911" s="63"/>
      <c r="AC911" s="62" t="str">
        <f t="shared" si="2"/>
        <v>Dinraal's Scale</v>
      </c>
    </row>
    <row r="912">
      <c r="U912" s="62" t="str">
        <f>IFERROR(__xludf.DUMMYFUNCTION("""COMPUTED_VALUE"""),"5 Courser Bee Honey")</f>
        <v>5 Courser Bee Honey</v>
      </c>
      <c r="V912" s="62">
        <f>IFERROR(__xludf.DUMMYFUNCTION("SPLIT(U912,"" "")"),5.0)</f>
        <v>5</v>
      </c>
      <c r="W912" s="62" t="str">
        <f>IFERROR(__xludf.DUMMYFUNCTION("""COMPUTED_VALUE"""),"Courser")</f>
        <v>Courser</v>
      </c>
      <c r="X912" s="62" t="str">
        <f>IFERROR(__xludf.DUMMYFUNCTION("""COMPUTED_VALUE"""),"Bee")</f>
        <v>Bee</v>
      </c>
      <c r="Y912" s="62" t="str">
        <f>IFERROR(__xludf.DUMMYFUNCTION("""COMPUTED_VALUE"""),"Honey")</f>
        <v>Honey</v>
      </c>
      <c r="Z912" s="62"/>
      <c r="AA912" s="62"/>
      <c r="AB912" s="63"/>
      <c r="AC912" s="62" t="str">
        <f t="shared" si="2"/>
        <v>Courser Bee Honey</v>
      </c>
    </row>
    <row r="913">
      <c r="U913" s="62" t="str">
        <f>IFERROR(__xludf.DUMMYFUNCTION("""COMPUTED_VALUE"""),"2 Dinraal's Claw")</f>
        <v>2 Dinraal's Claw</v>
      </c>
      <c r="V913" s="62">
        <f>IFERROR(__xludf.DUMMYFUNCTION("SPLIT(U913,"" "")"),2.0)</f>
        <v>2</v>
      </c>
      <c r="W913" s="62" t="str">
        <f>IFERROR(__xludf.DUMMYFUNCTION("""COMPUTED_VALUE"""),"Dinraal's")</f>
        <v>Dinraal's</v>
      </c>
      <c r="X913" s="62" t="str">
        <f>IFERROR(__xludf.DUMMYFUNCTION("""COMPUTED_VALUE"""),"Claw")</f>
        <v>Claw</v>
      </c>
      <c r="Y913" s="62"/>
      <c r="Z913" s="62"/>
      <c r="AA913" s="62"/>
      <c r="AB913" s="63"/>
      <c r="AC913" s="62" t="str">
        <f t="shared" si="2"/>
        <v>Dinraal's Claw</v>
      </c>
    </row>
    <row r="914">
      <c r="U914" s="62" t="str">
        <f>IFERROR(__xludf.DUMMYFUNCTION("""COMPUTED_VALUE"""),"3 Energetic Rhino Beetle")</f>
        <v>3 Energetic Rhino Beetle</v>
      </c>
      <c r="V914" s="62">
        <f>IFERROR(__xludf.DUMMYFUNCTION("SPLIT(U914,"" "")"),3.0)</f>
        <v>3</v>
      </c>
      <c r="W914" s="62" t="str">
        <f>IFERROR(__xludf.DUMMYFUNCTION("""COMPUTED_VALUE"""),"Energetic")</f>
        <v>Energetic</v>
      </c>
      <c r="X914" s="62" t="str">
        <f>IFERROR(__xludf.DUMMYFUNCTION("""COMPUTED_VALUE"""),"Rhino")</f>
        <v>Rhino</v>
      </c>
      <c r="Y914" s="62" t="str">
        <f>IFERROR(__xludf.DUMMYFUNCTION("""COMPUTED_VALUE"""),"Beetle")</f>
        <v>Beetle</v>
      </c>
      <c r="Z914" s="62"/>
      <c r="AA914" s="62"/>
      <c r="AB914" s="63"/>
      <c r="AC914" s="62" t="str">
        <f t="shared" si="2"/>
        <v>Energetic Rhino Beetle</v>
      </c>
    </row>
    <row r="915">
      <c r="U915" s="62" t="str">
        <f>IFERROR(__xludf.DUMMYFUNCTION("""COMPUTED_VALUE"""),"2 Shard of Dinraal's Fang")</f>
        <v>2 Shard of Dinraal's Fang</v>
      </c>
      <c r="V915" s="62">
        <f>IFERROR(__xludf.DUMMYFUNCTION("SPLIT(U915,"" "")"),2.0)</f>
        <v>2</v>
      </c>
      <c r="W915" s="62" t="str">
        <f>IFERROR(__xludf.DUMMYFUNCTION("""COMPUTED_VALUE"""),"Shard")</f>
        <v>Shard</v>
      </c>
      <c r="X915" s="62" t="str">
        <f>IFERROR(__xludf.DUMMYFUNCTION("""COMPUTED_VALUE"""),"of")</f>
        <v>of</v>
      </c>
      <c r="Y915" s="62" t="str">
        <f>IFERROR(__xludf.DUMMYFUNCTION("""COMPUTED_VALUE"""),"Dinraal's")</f>
        <v>Dinraal's</v>
      </c>
      <c r="Z915" s="62" t="str">
        <f>IFERROR(__xludf.DUMMYFUNCTION("""COMPUTED_VALUE"""),"Fang")</f>
        <v>Fang</v>
      </c>
      <c r="AA915" s="62"/>
      <c r="AB915" s="63"/>
      <c r="AC915" s="62" t="str">
        <f t="shared" si="2"/>
        <v>Shard of Dinraal's Fang</v>
      </c>
    </row>
    <row r="916">
      <c r="U916" s="62" t="str">
        <f>IFERROR(__xludf.DUMMYFUNCTION("""COMPUTED_VALUE"""),"5 Shard of Dinraal's Spike")</f>
        <v>5 Shard of Dinraal's Spike</v>
      </c>
      <c r="V916" s="62">
        <f>IFERROR(__xludf.DUMMYFUNCTION("SPLIT(U916,"" "")"),5.0)</f>
        <v>5</v>
      </c>
      <c r="W916" s="62" t="str">
        <f>IFERROR(__xludf.DUMMYFUNCTION("""COMPUTED_VALUE"""),"Shard")</f>
        <v>Shard</v>
      </c>
      <c r="X916" s="62" t="str">
        <f>IFERROR(__xludf.DUMMYFUNCTION("""COMPUTED_VALUE"""),"of")</f>
        <v>of</v>
      </c>
      <c r="Y916" s="62" t="str">
        <f>IFERROR(__xludf.DUMMYFUNCTION("""COMPUTED_VALUE"""),"Dinraal's")</f>
        <v>Dinraal's</v>
      </c>
      <c r="Z916" s="62" t="str">
        <f>IFERROR(__xludf.DUMMYFUNCTION("""COMPUTED_VALUE"""),"Spike")</f>
        <v>Spike</v>
      </c>
      <c r="AA916" s="62"/>
      <c r="AB916" s="63"/>
      <c r="AC916" s="62" t="str">
        <f t="shared" si="2"/>
        <v>Shard of Dinraal's Spike</v>
      </c>
    </row>
    <row r="917">
      <c r="U917" s="62" t="str">
        <f>IFERROR(__xludf.DUMMYFUNCTION("""COMPUTED_VALUE"""),"3 Star Fragment")</f>
        <v>3 Star Fragment</v>
      </c>
      <c r="V917" s="62">
        <f>IFERROR(__xludf.DUMMYFUNCTION("SPLIT(U917,"" "")"),3.0)</f>
        <v>3</v>
      </c>
      <c r="W917" s="62" t="str">
        <f>IFERROR(__xludf.DUMMYFUNCTION("""COMPUTED_VALUE"""),"Star")</f>
        <v>Star</v>
      </c>
      <c r="X917" s="62" t="str">
        <f>IFERROR(__xludf.DUMMYFUNCTION("""COMPUTED_VALUE"""),"Fragment")</f>
        <v>Fragment</v>
      </c>
      <c r="Y917" s="62"/>
      <c r="Z917" s="62"/>
      <c r="AA917" s="62"/>
      <c r="AB917" s="63"/>
      <c r="AC917" s="62" t="str">
        <f t="shared" si="2"/>
        <v>Star Fragment</v>
      </c>
    </row>
    <row r="918">
      <c r="U918" s="62" t="str">
        <f>IFERROR(__xludf.DUMMYFUNCTION("""COMPUTED_VALUE"""),"2 Dinraal's Horn")</f>
        <v>2 Dinraal's Horn</v>
      </c>
      <c r="V918" s="62">
        <f>IFERROR(__xludf.DUMMYFUNCTION("SPLIT(U918,"" "")"),2.0)</f>
        <v>2</v>
      </c>
      <c r="W918" s="62" t="str">
        <f>IFERROR(__xludf.DUMMYFUNCTION("""COMPUTED_VALUE"""),"Dinraal's")</f>
        <v>Dinraal's</v>
      </c>
      <c r="X918" s="62" t="str">
        <f>IFERROR(__xludf.DUMMYFUNCTION("""COMPUTED_VALUE"""),"Horn")</f>
        <v>Horn</v>
      </c>
      <c r="Y918" s="62"/>
      <c r="Z918" s="62"/>
      <c r="AA918" s="62"/>
      <c r="AB918" s="63"/>
      <c r="AC918" s="62" t="str">
        <f t="shared" si="2"/>
        <v>Dinraal's Horn</v>
      </c>
    </row>
    <row r="919">
      <c r="U919" s="62" t="str">
        <f>IFERROR(__xludf.DUMMYFUNCTION("""COMPUTED_VALUE"""),"10 Shard of Dinraal's Spike")</f>
        <v>10 Shard of Dinraal's Spike</v>
      </c>
      <c r="V919" s="62">
        <f>IFERROR(__xludf.DUMMYFUNCTION("SPLIT(U919,"" "")"),10.0)</f>
        <v>10</v>
      </c>
      <c r="W919" s="62" t="str">
        <f>IFERROR(__xludf.DUMMYFUNCTION("""COMPUTED_VALUE"""),"Shard")</f>
        <v>Shard</v>
      </c>
      <c r="X919" s="62" t="str">
        <f>IFERROR(__xludf.DUMMYFUNCTION("""COMPUTED_VALUE"""),"of")</f>
        <v>of</v>
      </c>
      <c r="Y919" s="62" t="str">
        <f>IFERROR(__xludf.DUMMYFUNCTION("""COMPUTED_VALUE"""),"Dinraal's")</f>
        <v>Dinraal's</v>
      </c>
      <c r="Z919" s="62" t="str">
        <f>IFERROR(__xludf.DUMMYFUNCTION("""COMPUTED_VALUE"""),"Spike")</f>
        <v>Spike</v>
      </c>
      <c r="AA919" s="62"/>
      <c r="AB919" s="63"/>
      <c r="AC919" s="62" t="str">
        <f t="shared" si="2"/>
        <v>Shard of Dinraal's Spike</v>
      </c>
    </row>
    <row r="920">
      <c r="U920" s="62" t="str">
        <f>IFERROR(__xludf.DUMMYFUNCTION("""COMPUTED_VALUE"""),"1 Ruby")</f>
        <v>1 Ruby</v>
      </c>
      <c r="V920" s="62">
        <f>IFERROR(__xludf.DUMMYFUNCTION("SPLIT(U920,"" "")"),1.0)</f>
        <v>1</v>
      </c>
      <c r="W920" s="62" t="str">
        <f>IFERROR(__xludf.DUMMYFUNCTION("""COMPUTED_VALUE"""),"Ruby")</f>
        <v>Ruby</v>
      </c>
      <c r="X920" s="62"/>
      <c r="Y920" s="62"/>
      <c r="Z920" s="62"/>
      <c r="AA920" s="62"/>
      <c r="AB920" s="63"/>
      <c r="AC920" s="62" t="str">
        <f t="shared" si="2"/>
        <v>Ruby</v>
      </c>
    </row>
    <row r="921">
      <c r="U921" s="62" t="str">
        <f>IFERROR(__xludf.DUMMYFUNCTION("""COMPUTED_VALUE"""),"1 Star Fragment")</f>
        <v>1 Star Fragment</v>
      </c>
      <c r="V921" s="62">
        <f>IFERROR(__xludf.DUMMYFUNCTION("SPLIT(U921,"" "")"),1.0)</f>
        <v>1</v>
      </c>
      <c r="W921" s="62" t="str">
        <f>IFERROR(__xludf.DUMMYFUNCTION("""COMPUTED_VALUE"""),"Star")</f>
        <v>Star</v>
      </c>
      <c r="X921" s="62" t="str">
        <f>IFERROR(__xludf.DUMMYFUNCTION("""COMPUTED_VALUE"""),"Fragment")</f>
        <v>Fragment</v>
      </c>
      <c r="Y921" s="62"/>
      <c r="Z921" s="62"/>
      <c r="AA921" s="62"/>
      <c r="AB921" s="63"/>
      <c r="AC921" s="62" t="str">
        <f t="shared" si="2"/>
        <v>Star Fragment</v>
      </c>
    </row>
    <row r="922">
      <c r="U922" s="62" t="str">
        <f>IFERROR(__xludf.DUMMYFUNCTION("""COMPUTED_VALUE"""),"4 Ruby")</f>
        <v>4 Ruby</v>
      </c>
      <c r="V922" s="62">
        <f>IFERROR(__xludf.DUMMYFUNCTION("SPLIT(U922,"" "")"),4.0)</f>
        <v>4</v>
      </c>
      <c r="W922" s="62" t="str">
        <f>IFERROR(__xludf.DUMMYFUNCTION("""COMPUTED_VALUE"""),"Ruby")</f>
        <v>Ruby</v>
      </c>
      <c r="X922" s="62"/>
      <c r="Y922" s="62"/>
      <c r="Z922" s="62"/>
      <c r="AA922" s="62"/>
      <c r="AB922" s="63"/>
      <c r="AC922" s="62" t="str">
        <f t="shared" si="2"/>
        <v>Ruby</v>
      </c>
    </row>
    <row r="923">
      <c r="U923" s="62" t="str">
        <f>IFERROR(__xludf.DUMMYFUNCTION("""COMPUTED_VALUE"""),"1 Star Fragment")</f>
        <v>1 Star Fragment</v>
      </c>
      <c r="V923" s="62">
        <f>IFERROR(__xludf.DUMMYFUNCTION("SPLIT(U923,"" "")"),1.0)</f>
        <v>1</v>
      </c>
      <c r="W923" s="62" t="str">
        <f>IFERROR(__xludf.DUMMYFUNCTION("""COMPUTED_VALUE"""),"Star")</f>
        <v>Star</v>
      </c>
      <c r="X923" s="62" t="str">
        <f>IFERROR(__xludf.DUMMYFUNCTION("""COMPUTED_VALUE"""),"Fragment")</f>
        <v>Fragment</v>
      </c>
      <c r="Y923" s="62"/>
      <c r="Z923" s="62"/>
      <c r="AA923" s="62"/>
      <c r="AB923" s="63"/>
      <c r="AC923" s="62" t="str">
        <f t="shared" si="2"/>
        <v>Star Fragment</v>
      </c>
    </row>
    <row r="924">
      <c r="U924" s="62" t="str">
        <f>IFERROR(__xludf.DUMMYFUNCTION("""COMPUTED_VALUE"""),"6 Ruby")</f>
        <v>6 Ruby</v>
      </c>
      <c r="V924" s="62">
        <f>IFERROR(__xludf.DUMMYFUNCTION("SPLIT(U924,"" "")"),6.0)</f>
        <v>6</v>
      </c>
      <c r="W924" s="62" t="str">
        <f>IFERROR(__xludf.DUMMYFUNCTION("""COMPUTED_VALUE"""),"Ruby")</f>
        <v>Ruby</v>
      </c>
      <c r="X924" s="62"/>
      <c r="Y924" s="62"/>
      <c r="Z924" s="62"/>
      <c r="AA924" s="62"/>
      <c r="AB924" s="63"/>
      <c r="AC924" s="62" t="str">
        <f t="shared" si="2"/>
        <v>Ruby</v>
      </c>
    </row>
    <row r="925">
      <c r="U925" s="62" t="str">
        <f>IFERROR(__xludf.DUMMYFUNCTION("""COMPUTED_VALUE"""),"1 Star Fragment")</f>
        <v>1 Star Fragment</v>
      </c>
      <c r="V925" s="62">
        <f>IFERROR(__xludf.DUMMYFUNCTION("SPLIT(U925,"" "")"),1.0)</f>
        <v>1</v>
      </c>
      <c r="W925" s="62" t="str">
        <f>IFERROR(__xludf.DUMMYFUNCTION("""COMPUTED_VALUE"""),"Star")</f>
        <v>Star</v>
      </c>
      <c r="X925" s="62" t="str">
        <f>IFERROR(__xludf.DUMMYFUNCTION("""COMPUTED_VALUE"""),"Fragment")</f>
        <v>Fragment</v>
      </c>
      <c r="Y925" s="62"/>
      <c r="Z925" s="62"/>
      <c r="AA925" s="62"/>
      <c r="AB925" s="63"/>
      <c r="AC925" s="62" t="str">
        <f t="shared" si="2"/>
        <v>Star Fragment</v>
      </c>
    </row>
    <row r="926">
      <c r="U926" s="62" t="str">
        <f>IFERROR(__xludf.DUMMYFUNCTION("""COMPUTED_VALUE"""),"10 Ruby")</f>
        <v>10 Ruby</v>
      </c>
      <c r="V926" s="62">
        <f>IFERROR(__xludf.DUMMYFUNCTION("SPLIT(U926,"" "")"),10.0)</f>
        <v>10</v>
      </c>
      <c r="W926" s="62" t="str">
        <f>IFERROR(__xludf.DUMMYFUNCTION("""COMPUTED_VALUE"""),"Ruby")</f>
        <v>Ruby</v>
      </c>
      <c r="X926" s="62"/>
      <c r="Y926" s="62"/>
      <c r="Z926" s="62"/>
      <c r="AA926" s="62"/>
      <c r="AB926" s="63"/>
      <c r="AC926" s="62" t="str">
        <f t="shared" si="2"/>
        <v>Ruby</v>
      </c>
    </row>
    <row r="927">
      <c r="U927" s="62" t="str">
        <f>IFERROR(__xludf.DUMMYFUNCTION("""COMPUTED_VALUE"""),"1 Star Fragment")</f>
        <v>1 Star Fragment</v>
      </c>
      <c r="V927" s="62">
        <f>IFERROR(__xludf.DUMMYFUNCTION("SPLIT(U927,"" "")"),1.0)</f>
        <v>1</v>
      </c>
      <c r="W927" s="62" t="str">
        <f>IFERROR(__xludf.DUMMYFUNCTION("""COMPUTED_VALUE"""),"Star")</f>
        <v>Star</v>
      </c>
      <c r="X927" s="62" t="str">
        <f>IFERROR(__xludf.DUMMYFUNCTION("""COMPUTED_VALUE"""),"Fragment")</f>
        <v>Fragment</v>
      </c>
      <c r="Y927" s="62"/>
      <c r="Z927" s="62"/>
      <c r="AA927" s="62"/>
      <c r="AB927" s="63"/>
      <c r="AC927" s="62" t="str">
        <f t="shared" si="2"/>
        <v>Star Fragment</v>
      </c>
    </row>
    <row r="928">
      <c r="U928" s="62" t="str">
        <f>IFERROR(__xludf.DUMMYFUNCTION("""COMPUTED_VALUE"""),"1 Ruby")</f>
        <v>1 Ruby</v>
      </c>
      <c r="V928" s="62">
        <f>IFERROR(__xludf.DUMMYFUNCTION("SPLIT(U928,"" "")"),1.0)</f>
        <v>1</v>
      </c>
      <c r="W928" s="62" t="str">
        <f>IFERROR(__xludf.DUMMYFUNCTION("""COMPUTED_VALUE"""),"Ruby")</f>
        <v>Ruby</v>
      </c>
      <c r="X928" s="62"/>
      <c r="Y928" s="62"/>
      <c r="Z928" s="62"/>
      <c r="AA928" s="62"/>
      <c r="AB928" s="63"/>
      <c r="AC928" s="62" t="str">
        <f t="shared" si="2"/>
        <v>Ruby</v>
      </c>
    </row>
    <row r="929">
      <c r="U929" s="62" t="str">
        <f>IFERROR(__xludf.DUMMYFUNCTION("""COMPUTED_VALUE"""),"1 Star Fragment")</f>
        <v>1 Star Fragment</v>
      </c>
      <c r="V929" s="62">
        <f>IFERROR(__xludf.DUMMYFUNCTION("SPLIT(U929,"" "")"),1.0)</f>
        <v>1</v>
      </c>
      <c r="W929" s="62" t="str">
        <f>IFERROR(__xludf.DUMMYFUNCTION("""COMPUTED_VALUE"""),"Star")</f>
        <v>Star</v>
      </c>
      <c r="X929" s="62" t="str">
        <f>IFERROR(__xludf.DUMMYFUNCTION("""COMPUTED_VALUE"""),"Fragment")</f>
        <v>Fragment</v>
      </c>
      <c r="Y929" s="62"/>
      <c r="Z929" s="62"/>
      <c r="AA929" s="62"/>
      <c r="AB929" s="63"/>
      <c r="AC929" s="62" t="str">
        <f t="shared" si="2"/>
        <v>Star Fragment</v>
      </c>
    </row>
    <row r="930">
      <c r="U930" s="62" t="str">
        <f>IFERROR(__xludf.DUMMYFUNCTION("""COMPUTED_VALUE"""),"4 Ruby")</f>
        <v>4 Ruby</v>
      </c>
      <c r="V930" s="62">
        <f>IFERROR(__xludf.DUMMYFUNCTION("SPLIT(U930,"" "")"),4.0)</f>
        <v>4</v>
      </c>
      <c r="W930" s="62" t="str">
        <f>IFERROR(__xludf.DUMMYFUNCTION("""COMPUTED_VALUE"""),"Ruby")</f>
        <v>Ruby</v>
      </c>
      <c r="X930" s="62"/>
      <c r="Y930" s="62"/>
      <c r="Z930" s="62"/>
      <c r="AA930" s="62"/>
      <c r="AB930" s="63"/>
      <c r="AC930" s="62" t="str">
        <f t="shared" si="2"/>
        <v>Ruby</v>
      </c>
    </row>
    <row r="931">
      <c r="U931" s="62" t="str">
        <f>IFERROR(__xludf.DUMMYFUNCTION("""COMPUTED_VALUE"""),"1 Star Fragment")</f>
        <v>1 Star Fragment</v>
      </c>
      <c r="V931" s="62">
        <f>IFERROR(__xludf.DUMMYFUNCTION("SPLIT(U931,"" "")"),1.0)</f>
        <v>1</v>
      </c>
      <c r="W931" s="62" t="str">
        <f>IFERROR(__xludf.DUMMYFUNCTION("""COMPUTED_VALUE"""),"Star")</f>
        <v>Star</v>
      </c>
      <c r="X931" s="62" t="str">
        <f>IFERROR(__xludf.DUMMYFUNCTION("""COMPUTED_VALUE"""),"Fragment")</f>
        <v>Fragment</v>
      </c>
      <c r="Y931" s="62"/>
      <c r="Z931" s="62"/>
      <c r="AA931" s="62"/>
      <c r="AB931" s="63"/>
      <c r="AC931" s="62" t="str">
        <f t="shared" si="2"/>
        <v>Star Fragment</v>
      </c>
    </row>
    <row r="932">
      <c r="U932" s="62" t="str">
        <f>IFERROR(__xludf.DUMMYFUNCTION("""COMPUTED_VALUE"""),"6 Ruby")</f>
        <v>6 Ruby</v>
      </c>
      <c r="V932" s="62">
        <f>IFERROR(__xludf.DUMMYFUNCTION("SPLIT(U932,"" "")"),6.0)</f>
        <v>6</v>
      </c>
      <c r="W932" s="62" t="str">
        <f>IFERROR(__xludf.DUMMYFUNCTION("""COMPUTED_VALUE"""),"Ruby")</f>
        <v>Ruby</v>
      </c>
      <c r="X932" s="62"/>
      <c r="Y932" s="62"/>
      <c r="Z932" s="62"/>
      <c r="AA932" s="62"/>
      <c r="AB932" s="63"/>
      <c r="AC932" s="62" t="str">
        <f t="shared" si="2"/>
        <v>Ruby</v>
      </c>
    </row>
    <row r="933">
      <c r="U933" s="62" t="str">
        <f>IFERROR(__xludf.DUMMYFUNCTION("""COMPUTED_VALUE"""),"1 Star Fragment")</f>
        <v>1 Star Fragment</v>
      </c>
      <c r="V933" s="62">
        <f>IFERROR(__xludf.DUMMYFUNCTION("SPLIT(U933,"" "")"),1.0)</f>
        <v>1</v>
      </c>
      <c r="W933" s="62" t="str">
        <f>IFERROR(__xludf.DUMMYFUNCTION("""COMPUTED_VALUE"""),"Star")</f>
        <v>Star</v>
      </c>
      <c r="X933" s="62" t="str">
        <f>IFERROR(__xludf.DUMMYFUNCTION("""COMPUTED_VALUE"""),"Fragment")</f>
        <v>Fragment</v>
      </c>
      <c r="Y933" s="62"/>
      <c r="Z933" s="62"/>
      <c r="AA933" s="62"/>
      <c r="AB933" s="63"/>
      <c r="AC933" s="62" t="str">
        <f t="shared" si="2"/>
        <v>Star Fragment</v>
      </c>
    </row>
    <row r="934">
      <c r="U934" s="62" t="str">
        <f>IFERROR(__xludf.DUMMYFUNCTION("""COMPUTED_VALUE"""),"10 Ruby")</f>
        <v>10 Ruby</v>
      </c>
      <c r="V934" s="62">
        <f>IFERROR(__xludf.DUMMYFUNCTION("SPLIT(U934,"" "")"),10.0)</f>
        <v>10</v>
      </c>
      <c r="W934" s="62" t="str">
        <f>IFERROR(__xludf.DUMMYFUNCTION("""COMPUTED_VALUE"""),"Ruby")</f>
        <v>Ruby</v>
      </c>
      <c r="X934" s="62"/>
      <c r="Y934" s="62"/>
      <c r="Z934" s="62"/>
      <c r="AA934" s="62"/>
      <c r="AB934" s="63"/>
      <c r="AC934" s="62" t="str">
        <f t="shared" si="2"/>
        <v>Ruby</v>
      </c>
    </row>
    <row r="935">
      <c r="U935" s="62" t="str">
        <f>IFERROR(__xludf.DUMMYFUNCTION("""COMPUTED_VALUE"""),"1 Star Fragment")</f>
        <v>1 Star Fragment</v>
      </c>
      <c r="V935" s="62">
        <f>IFERROR(__xludf.DUMMYFUNCTION("SPLIT(U935,"" "")"),1.0)</f>
        <v>1</v>
      </c>
      <c r="W935" s="62" t="str">
        <f>IFERROR(__xludf.DUMMYFUNCTION("""COMPUTED_VALUE"""),"Star")</f>
        <v>Star</v>
      </c>
      <c r="X935" s="62" t="str">
        <f>IFERROR(__xludf.DUMMYFUNCTION("""COMPUTED_VALUE"""),"Fragment")</f>
        <v>Fragment</v>
      </c>
      <c r="Y935" s="62"/>
      <c r="Z935" s="62"/>
      <c r="AA935" s="62"/>
      <c r="AB935" s="63"/>
      <c r="AC935" s="62" t="str">
        <f t="shared" si="2"/>
        <v>Star Fragment</v>
      </c>
    </row>
    <row r="936">
      <c r="U936" s="62" t="str">
        <f>IFERROR(__xludf.DUMMYFUNCTION("""COMPUTED_VALUE"""),"1 Ruby")</f>
        <v>1 Ruby</v>
      </c>
      <c r="V936" s="62">
        <f>IFERROR(__xludf.DUMMYFUNCTION("SPLIT(U936,"" "")"),1.0)</f>
        <v>1</v>
      </c>
      <c r="W936" s="62" t="str">
        <f>IFERROR(__xludf.DUMMYFUNCTION("""COMPUTED_VALUE"""),"Ruby")</f>
        <v>Ruby</v>
      </c>
      <c r="X936" s="62"/>
      <c r="Y936" s="62"/>
      <c r="Z936" s="62"/>
      <c r="AA936" s="62"/>
      <c r="AB936" s="63"/>
      <c r="AC936" s="62" t="str">
        <f t="shared" si="2"/>
        <v>Ruby</v>
      </c>
    </row>
    <row r="937">
      <c r="U937" s="62" t="str">
        <f>IFERROR(__xludf.DUMMYFUNCTION("""COMPUTED_VALUE"""),"1 Star Fragment")</f>
        <v>1 Star Fragment</v>
      </c>
      <c r="V937" s="62">
        <f>IFERROR(__xludf.DUMMYFUNCTION("SPLIT(U937,"" "")"),1.0)</f>
        <v>1</v>
      </c>
      <c r="W937" s="62" t="str">
        <f>IFERROR(__xludf.DUMMYFUNCTION("""COMPUTED_VALUE"""),"Star")</f>
        <v>Star</v>
      </c>
      <c r="X937" s="62" t="str">
        <f>IFERROR(__xludf.DUMMYFUNCTION("""COMPUTED_VALUE"""),"Fragment")</f>
        <v>Fragment</v>
      </c>
      <c r="Y937" s="62"/>
      <c r="Z937" s="62"/>
      <c r="AA937" s="62"/>
      <c r="AB937" s="63"/>
      <c r="AC937" s="62" t="str">
        <f t="shared" si="2"/>
        <v>Star Fragment</v>
      </c>
    </row>
    <row r="938">
      <c r="U938" s="62" t="str">
        <f>IFERROR(__xludf.DUMMYFUNCTION("""COMPUTED_VALUE"""),"4 Ruby")</f>
        <v>4 Ruby</v>
      </c>
      <c r="V938" s="62">
        <f>IFERROR(__xludf.DUMMYFUNCTION("SPLIT(U938,"" "")"),4.0)</f>
        <v>4</v>
      </c>
      <c r="W938" s="62" t="str">
        <f>IFERROR(__xludf.DUMMYFUNCTION("""COMPUTED_VALUE"""),"Ruby")</f>
        <v>Ruby</v>
      </c>
      <c r="X938" s="62"/>
      <c r="Y938" s="62"/>
      <c r="Z938" s="62"/>
      <c r="AA938" s="62"/>
      <c r="AB938" s="63"/>
      <c r="AC938" s="62" t="str">
        <f t="shared" si="2"/>
        <v>Ruby</v>
      </c>
    </row>
    <row r="939">
      <c r="U939" s="62" t="str">
        <f>IFERROR(__xludf.DUMMYFUNCTION("""COMPUTED_VALUE"""),"1 Star Fragment")</f>
        <v>1 Star Fragment</v>
      </c>
      <c r="V939" s="62">
        <f>IFERROR(__xludf.DUMMYFUNCTION("SPLIT(U939,"" "")"),1.0)</f>
        <v>1</v>
      </c>
      <c r="W939" s="62" t="str">
        <f>IFERROR(__xludf.DUMMYFUNCTION("""COMPUTED_VALUE"""),"Star")</f>
        <v>Star</v>
      </c>
      <c r="X939" s="62" t="str">
        <f>IFERROR(__xludf.DUMMYFUNCTION("""COMPUTED_VALUE"""),"Fragment")</f>
        <v>Fragment</v>
      </c>
      <c r="Y939" s="62"/>
      <c r="Z939" s="62"/>
      <c r="AA939" s="62"/>
      <c r="AB939" s="63"/>
      <c r="AC939" s="62" t="str">
        <f t="shared" si="2"/>
        <v>Star Fragment</v>
      </c>
    </row>
    <row r="940">
      <c r="U940" s="62" t="str">
        <f>IFERROR(__xludf.DUMMYFUNCTION("""COMPUTED_VALUE"""),"6 Ruby")</f>
        <v>6 Ruby</v>
      </c>
      <c r="V940" s="62">
        <f>IFERROR(__xludf.DUMMYFUNCTION("SPLIT(U940,"" "")"),6.0)</f>
        <v>6</v>
      </c>
      <c r="W940" s="62" t="str">
        <f>IFERROR(__xludf.DUMMYFUNCTION("""COMPUTED_VALUE"""),"Ruby")</f>
        <v>Ruby</v>
      </c>
      <c r="X940" s="62"/>
      <c r="Y940" s="62"/>
      <c r="Z940" s="62"/>
      <c r="AA940" s="62"/>
      <c r="AB940" s="63"/>
      <c r="AC940" s="62" t="str">
        <f t="shared" si="2"/>
        <v>Ruby</v>
      </c>
    </row>
    <row r="941">
      <c r="U941" s="62" t="str">
        <f>IFERROR(__xludf.DUMMYFUNCTION("""COMPUTED_VALUE"""),"1 Star Fragment")</f>
        <v>1 Star Fragment</v>
      </c>
      <c r="V941" s="62">
        <f>IFERROR(__xludf.DUMMYFUNCTION("SPLIT(U941,"" "")"),1.0)</f>
        <v>1</v>
      </c>
      <c r="W941" s="62" t="str">
        <f>IFERROR(__xludf.DUMMYFUNCTION("""COMPUTED_VALUE"""),"Star")</f>
        <v>Star</v>
      </c>
      <c r="X941" s="62" t="str">
        <f>IFERROR(__xludf.DUMMYFUNCTION("""COMPUTED_VALUE"""),"Fragment")</f>
        <v>Fragment</v>
      </c>
      <c r="Y941" s="62"/>
      <c r="Z941" s="62"/>
      <c r="AA941" s="62"/>
      <c r="AB941" s="63"/>
      <c r="AC941" s="62" t="str">
        <f t="shared" si="2"/>
        <v>Star Fragment</v>
      </c>
    </row>
    <row r="942">
      <c r="U942" s="62" t="str">
        <f>IFERROR(__xludf.DUMMYFUNCTION("""COMPUTED_VALUE"""),"10 Ruby")</f>
        <v>10 Ruby</v>
      </c>
      <c r="V942" s="62">
        <f>IFERROR(__xludf.DUMMYFUNCTION("SPLIT(U942,"" "")"),10.0)</f>
        <v>10</v>
      </c>
      <c r="W942" s="62" t="str">
        <f>IFERROR(__xludf.DUMMYFUNCTION("""COMPUTED_VALUE"""),"Ruby")</f>
        <v>Ruby</v>
      </c>
      <c r="X942" s="62"/>
      <c r="Y942" s="62"/>
      <c r="Z942" s="62"/>
      <c r="AA942" s="62"/>
      <c r="AB942" s="63"/>
      <c r="AC942" s="62" t="str">
        <f t="shared" si="2"/>
        <v>Ruby</v>
      </c>
    </row>
    <row r="943">
      <c r="U943" s="62" t="str">
        <f>IFERROR(__xludf.DUMMYFUNCTION("""COMPUTED_VALUE"""),"1 Star Fragment")</f>
        <v>1 Star Fragment</v>
      </c>
      <c r="V943" s="62">
        <f>IFERROR(__xludf.DUMMYFUNCTION("SPLIT(U943,"" "")"),1.0)</f>
        <v>1</v>
      </c>
      <c r="W943" s="62" t="str">
        <f>IFERROR(__xludf.DUMMYFUNCTION("""COMPUTED_VALUE"""),"Star")</f>
        <v>Star</v>
      </c>
      <c r="X943" s="62" t="str">
        <f>IFERROR(__xludf.DUMMYFUNCTION("""COMPUTED_VALUE"""),"Fragment")</f>
        <v>Fragment</v>
      </c>
      <c r="Y943" s="62"/>
      <c r="Z943" s="62"/>
      <c r="AA943" s="62"/>
      <c r="AB943" s="63"/>
      <c r="AC943" s="62" t="str">
        <f t="shared" si="2"/>
        <v>Star Fragment</v>
      </c>
    </row>
    <row r="944">
      <c r="U944" s="62" t="str">
        <f>IFERROR(__xludf.DUMMYFUNCTION("""COMPUTED_VALUE"""),"10 Amber")</f>
        <v>10 Amber</v>
      </c>
      <c r="V944" s="62">
        <f>IFERROR(__xludf.DUMMYFUNCTION("SPLIT(U944,"" "")"),10.0)</f>
        <v>10</v>
      </c>
      <c r="W944" s="62" t="str">
        <f>IFERROR(__xludf.DUMMYFUNCTION("""COMPUTED_VALUE"""),"Amber")</f>
        <v>Amber</v>
      </c>
      <c r="X944" s="62"/>
      <c r="Y944" s="62"/>
      <c r="Z944" s="62"/>
      <c r="AA944" s="62"/>
      <c r="AB944" s="63"/>
      <c r="AC944" s="62" t="str">
        <f t="shared" si="2"/>
        <v>Amber</v>
      </c>
    </row>
    <row r="945">
      <c r="U945" s="62" t="str">
        <f>IFERROR(__xludf.DUMMYFUNCTION("""COMPUTED_VALUE"""),"1 Star Fragment")</f>
        <v>1 Star Fragment</v>
      </c>
      <c r="V945" s="62">
        <f>IFERROR(__xludf.DUMMYFUNCTION("SPLIT(U945,"" "")"),1.0)</f>
        <v>1</v>
      </c>
      <c r="W945" s="62" t="str">
        <f>IFERROR(__xludf.DUMMYFUNCTION("""COMPUTED_VALUE"""),"Star")</f>
        <v>Star</v>
      </c>
      <c r="X945" s="62" t="str">
        <f>IFERROR(__xludf.DUMMYFUNCTION("""COMPUTED_VALUE"""),"Fragment")</f>
        <v>Fragment</v>
      </c>
      <c r="Y945" s="62"/>
      <c r="Z945" s="62"/>
      <c r="AA945" s="62"/>
      <c r="AB945" s="63"/>
      <c r="AC945" s="62" t="str">
        <f t="shared" si="2"/>
        <v>Star Fragment</v>
      </c>
    </row>
    <row r="946">
      <c r="U946" s="62" t="str">
        <f>IFERROR(__xludf.DUMMYFUNCTION("""COMPUTED_VALUE"""),"20 Amber")</f>
        <v>20 Amber</v>
      </c>
      <c r="V946" s="62">
        <f>IFERROR(__xludf.DUMMYFUNCTION("SPLIT(U946,"" "")"),20.0)</f>
        <v>20</v>
      </c>
      <c r="W946" s="62" t="str">
        <f>IFERROR(__xludf.DUMMYFUNCTION("""COMPUTED_VALUE"""),"Amber")</f>
        <v>Amber</v>
      </c>
      <c r="X946" s="62"/>
      <c r="Y946" s="62"/>
      <c r="Z946" s="62"/>
      <c r="AA946" s="62"/>
      <c r="AB946" s="63"/>
      <c r="AC946" s="62" t="str">
        <f t="shared" si="2"/>
        <v>Amber</v>
      </c>
    </row>
    <row r="947">
      <c r="U947" s="62" t="str">
        <f>IFERROR(__xludf.DUMMYFUNCTION("""COMPUTED_VALUE"""),"1 Star Fragment")</f>
        <v>1 Star Fragment</v>
      </c>
      <c r="V947" s="62">
        <f>IFERROR(__xludf.DUMMYFUNCTION("SPLIT(U947,"" "")"),1.0)</f>
        <v>1</v>
      </c>
      <c r="W947" s="62" t="str">
        <f>IFERROR(__xludf.DUMMYFUNCTION("""COMPUTED_VALUE"""),"Star")</f>
        <v>Star</v>
      </c>
      <c r="X947" s="62" t="str">
        <f>IFERROR(__xludf.DUMMYFUNCTION("""COMPUTED_VALUE"""),"Fragment")</f>
        <v>Fragment</v>
      </c>
      <c r="Y947" s="62"/>
      <c r="Z947" s="62"/>
      <c r="AA947" s="62"/>
      <c r="AB947" s="63"/>
      <c r="AC947" s="62" t="str">
        <f t="shared" si="2"/>
        <v>Star Fragment</v>
      </c>
    </row>
    <row r="948">
      <c r="U948" s="62" t="str">
        <f>IFERROR(__xludf.DUMMYFUNCTION("""COMPUTED_VALUE"""),"30 Amber")</f>
        <v>30 Amber</v>
      </c>
      <c r="V948" s="62">
        <f>IFERROR(__xludf.DUMMYFUNCTION("SPLIT(U948,"" "")"),30.0)</f>
        <v>30</v>
      </c>
      <c r="W948" s="62" t="str">
        <f>IFERROR(__xludf.DUMMYFUNCTION("""COMPUTED_VALUE"""),"Amber")</f>
        <v>Amber</v>
      </c>
      <c r="X948" s="62"/>
      <c r="Y948" s="62"/>
      <c r="Z948" s="62"/>
      <c r="AA948" s="62"/>
      <c r="AB948" s="63"/>
      <c r="AC948" s="62" t="str">
        <f t="shared" si="2"/>
        <v>Amber</v>
      </c>
    </row>
    <row r="949">
      <c r="U949" s="62" t="str">
        <f>IFERROR(__xludf.DUMMYFUNCTION("""COMPUTED_VALUE"""),"1 Star Fragment")</f>
        <v>1 Star Fragment</v>
      </c>
      <c r="V949" s="62">
        <f>IFERROR(__xludf.DUMMYFUNCTION("SPLIT(U949,"" "")"),1.0)</f>
        <v>1</v>
      </c>
      <c r="W949" s="62" t="str">
        <f>IFERROR(__xludf.DUMMYFUNCTION("""COMPUTED_VALUE"""),"Star")</f>
        <v>Star</v>
      </c>
      <c r="X949" s="62" t="str">
        <f>IFERROR(__xludf.DUMMYFUNCTION("""COMPUTED_VALUE"""),"Fragment")</f>
        <v>Fragment</v>
      </c>
      <c r="Y949" s="62"/>
      <c r="Z949" s="62"/>
      <c r="AA949" s="62"/>
      <c r="AB949" s="63"/>
      <c r="AC949" s="62" t="str">
        <f t="shared" si="2"/>
        <v>Star Fragment</v>
      </c>
    </row>
    <row r="950">
      <c r="U950" s="62" t="str">
        <f>IFERROR(__xludf.DUMMYFUNCTION("""COMPUTED_VALUE"""),"40 Amber")</f>
        <v>40 Amber</v>
      </c>
      <c r="V950" s="62">
        <f>IFERROR(__xludf.DUMMYFUNCTION("SPLIT(U950,"" "")"),40.0)</f>
        <v>40</v>
      </c>
      <c r="W950" s="62" t="str">
        <f>IFERROR(__xludf.DUMMYFUNCTION("""COMPUTED_VALUE"""),"Amber")</f>
        <v>Amber</v>
      </c>
      <c r="X950" s="62"/>
      <c r="Y950" s="62"/>
      <c r="Z950" s="62"/>
      <c r="AA950" s="62"/>
      <c r="AB950" s="63"/>
      <c r="AC950" s="62" t="str">
        <f t="shared" si="2"/>
        <v>Amber</v>
      </c>
    </row>
    <row r="951">
      <c r="U951" s="62" t="str">
        <f>IFERROR(__xludf.DUMMYFUNCTION("""COMPUTED_VALUE"""),"1 Star Fragment")</f>
        <v>1 Star Fragment</v>
      </c>
      <c r="V951" s="62">
        <f>IFERROR(__xludf.DUMMYFUNCTION("SPLIT(U951,"" "")"),1.0)</f>
        <v>1</v>
      </c>
      <c r="W951" s="62" t="str">
        <f>IFERROR(__xludf.DUMMYFUNCTION("""COMPUTED_VALUE"""),"Star")</f>
        <v>Star</v>
      </c>
      <c r="X951" s="62" t="str">
        <f>IFERROR(__xludf.DUMMYFUNCTION("""COMPUTED_VALUE"""),"Fragment")</f>
        <v>Fragment</v>
      </c>
      <c r="Y951" s="62"/>
      <c r="Z951" s="62"/>
      <c r="AA951" s="62"/>
      <c r="AB951" s="63"/>
      <c r="AC951" s="62" t="str">
        <f t="shared" si="2"/>
        <v>Star Fragment</v>
      </c>
    </row>
    <row r="952">
      <c r="U952" s="62" t="str">
        <f>IFERROR(__xludf.DUMMYFUNCTION("""COMPUTED_VALUE"""),"10 Amber")</f>
        <v>10 Amber</v>
      </c>
      <c r="V952" s="62">
        <f>IFERROR(__xludf.DUMMYFUNCTION("SPLIT(U952,"" "")"),10.0)</f>
        <v>10</v>
      </c>
      <c r="W952" s="62" t="str">
        <f>IFERROR(__xludf.DUMMYFUNCTION("""COMPUTED_VALUE"""),"Amber")</f>
        <v>Amber</v>
      </c>
      <c r="X952" s="62"/>
      <c r="Y952" s="62"/>
      <c r="Z952" s="62"/>
      <c r="AA952" s="62"/>
      <c r="AB952" s="63"/>
      <c r="AC952" s="62" t="str">
        <f t="shared" si="2"/>
        <v>Amber</v>
      </c>
    </row>
    <row r="953">
      <c r="U953" s="62" t="str">
        <f>IFERROR(__xludf.DUMMYFUNCTION("""COMPUTED_VALUE"""),"1 Star Fragment")</f>
        <v>1 Star Fragment</v>
      </c>
      <c r="V953" s="62">
        <f>IFERROR(__xludf.DUMMYFUNCTION("SPLIT(U953,"" "")"),1.0)</f>
        <v>1</v>
      </c>
      <c r="W953" s="62" t="str">
        <f>IFERROR(__xludf.DUMMYFUNCTION("""COMPUTED_VALUE"""),"Star")</f>
        <v>Star</v>
      </c>
      <c r="X953" s="62" t="str">
        <f>IFERROR(__xludf.DUMMYFUNCTION("""COMPUTED_VALUE"""),"Fragment")</f>
        <v>Fragment</v>
      </c>
      <c r="Y953" s="62"/>
      <c r="Z953" s="62"/>
      <c r="AA953" s="62"/>
      <c r="AB953" s="63"/>
      <c r="AC953" s="62" t="str">
        <f t="shared" si="2"/>
        <v>Star Fragment</v>
      </c>
    </row>
    <row r="954">
      <c r="U954" s="62" t="str">
        <f>IFERROR(__xludf.DUMMYFUNCTION("""COMPUTED_VALUE"""),"20 Amber")</f>
        <v>20 Amber</v>
      </c>
      <c r="V954" s="62">
        <f>IFERROR(__xludf.DUMMYFUNCTION("SPLIT(U954,"" "")"),20.0)</f>
        <v>20</v>
      </c>
      <c r="W954" s="62" t="str">
        <f>IFERROR(__xludf.DUMMYFUNCTION("""COMPUTED_VALUE"""),"Amber")</f>
        <v>Amber</v>
      </c>
      <c r="X954" s="62"/>
      <c r="Y954" s="62"/>
      <c r="Z954" s="62"/>
      <c r="AA954" s="62"/>
      <c r="AB954" s="63"/>
      <c r="AC954" s="62" t="str">
        <f t="shared" si="2"/>
        <v>Amber</v>
      </c>
    </row>
    <row r="955">
      <c r="U955" s="62" t="str">
        <f>IFERROR(__xludf.DUMMYFUNCTION("""COMPUTED_VALUE"""),"1 Star Fragment")</f>
        <v>1 Star Fragment</v>
      </c>
      <c r="V955" s="62">
        <f>IFERROR(__xludf.DUMMYFUNCTION("SPLIT(U955,"" "")"),1.0)</f>
        <v>1</v>
      </c>
      <c r="W955" s="62" t="str">
        <f>IFERROR(__xludf.DUMMYFUNCTION("""COMPUTED_VALUE"""),"Star")</f>
        <v>Star</v>
      </c>
      <c r="X955" s="62" t="str">
        <f>IFERROR(__xludf.DUMMYFUNCTION("""COMPUTED_VALUE"""),"Fragment")</f>
        <v>Fragment</v>
      </c>
      <c r="Y955" s="62"/>
      <c r="Z955" s="62"/>
      <c r="AA955" s="62"/>
      <c r="AB955" s="63"/>
      <c r="AC955" s="62" t="str">
        <f t="shared" si="2"/>
        <v>Star Fragment</v>
      </c>
    </row>
    <row r="956">
      <c r="U956" s="62" t="str">
        <f>IFERROR(__xludf.DUMMYFUNCTION("""COMPUTED_VALUE"""),"30 Amber")</f>
        <v>30 Amber</v>
      </c>
      <c r="V956" s="62">
        <f>IFERROR(__xludf.DUMMYFUNCTION("SPLIT(U956,"" "")"),30.0)</f>
        <v>30</v>
      </c>
      <c r="W956" s="62" t="str">
        <f>IFERROR(__xludf.DUMMYFUNCTION("""COMPUTED_VALUE"""),"Amber")</f>
        <v>Amber</v>
      </c>
      <c r="X956" s="62"/>
      <c r="Y956" s="62"/>
      <c r="Z956" s="62"/>
      <c r="AA956" s="62"/>
      <c r="AB956" s="63"/>
      <c r="AC956" s="62" t="str">
        <f t="shared" si="2"/>
        <v>Amber</v>
      </c>
    </row>
    <row r="957">
      <c r="U957" s="62" t="str">
        <f>IFERROR(__xludf.DUMMYFUNCTION("""COMPUTED_VALUE"""),"1 Star Fragment")</f>
        <v>1 Star Fragment</v>
      </c>
      <c r="V957" s="62">
        <f>IFERROR(__xludf.DUMMYFUNCTION("SPLIT(U957,"" "")"),1.0)</f>
        <v>1</v>
      </c>
      <c r="W957" s="62" t="str">
        <f>IFERROR(__xludf.DUMMYFUNCTION("""COMPUTED_VALUE"""),"Star")</f>
        <v>Star</v>
      </c>
      <c r="X957" s="62" t="str">
        <f>IFERROR(__xludf.DUMMYFUNCTION("""COMPUTED_VALUE"""),"Fragment")</f>
        <v>Fragment</v>
      </c>
      <c r="Y957" s="62"/>
      <c r="Z957" s="62"/>
      <c r="AA957" s="62"/>
      <c r="AB957" s="63"/>
      <c r="AC957" s="62" t="str">
        <f t="shared" si="2"/>
        <v>Star Fragment</v>
      </c>
    </row>
    <row r="958">
      <c r="U958" s="62" t="str">
        <f>IFERROR(__xludf.DUMMYFUNCTION("""COMPUTED_VALUE"""),"40 Amber")</f>
        <v>40 Amber</v>
      </c>
      <c r="V958" s="62">
        <f>IFERROR(__xludf.DUMMYFUNCTION("SPLIT(U958,"" "")"),40.0)</f>
        <v>40</v>
      </c>
      <c r="W958" s="62" t="str">
        <f>IFERROR(__xludf.DUMMYFUNCTION("""COMPUTED_VALUE"""),"Amber")</f>
        <v>Amber</v>
      </c>
      <c r="X958" s="62"/>
      <c r="Y958" s="62"/>
      <c r="Z958" s="62"/>
      <c r="AA958" s="62"/>
      <c r="AB958" s="63"/>
      <c r="AC958" s="62" t="str">
        <f t="shared" si="2"/>
        <v>Amber</v>
      </c>
    </row>
    <row r="959">
      <c r="U959" s="62" t="str">
        <f>IFERROR(__xludf.DUMMYFUNCTION("""COMPUTED_VALUE"""),"1 Star Fragment")</f>
        <v>1 Star Fragment</v>
      </c>
      <c r="V959" s="62">
        <f>IFERROR(__xludf.DUMMYFUNCTION("SPLIT(U959,"" "")"),1.0)</f>
        <v>1</v>
      </c>
      <c r="W959" s="62" t="str">
        <f>IFERROR(__xludf.DUMMYFUNCTION("""COMPUTED_VALUE"""),"Star")</f>
        <v>Star</v>
      </c>
      <c r="X959" s="62" t="str">
        <f>IFERROR(__xludf.DUMMYFUNCTION("""COMPUTED_VALUE"""),"Fragment")</f>
        <v>Fragment</v>
      </c>
      <c r="Y959" s="62"/>
      <c r="Z959" s="62"/>
      <c r="AA959" s="62"/>
      <c r="AB959" s="63"/>
      <c r="AC959" s="62" t="str">
        <f t="shared" si="2"/>
        <v>Star Fragment</v>
      </c>
    </row>
    <row r="960">
      <c r="U960" s="62" t="str">
        <f>IFERROR(__xludf.DUMMYFUNCTION("""COMPUTED_VALUE"""),"10 Amber")</f>
        <v>10 Amber</v>
      </c>
      <c r="V960" s="62">
        <f>IFERROR(__xludf.DUMMYFUNCTION("SPLIT(U960,"" "")"),10.0)</f>
        <v>10</v>
      </c>
      <c r="W960" s="62" t="str">
        <f>IFERROR(__xludf.DUMMYFUNCTION("""COMPUTED_VALUE"""),"Amber")</f>
        <v>Amber</v>
      </c>
      <c r="X960" s="62"/>
      <c r="Y960" s="62"/>
      <c r="Z960" s="62"/>
      <c r="AA960" s="62"/>
      <c r="AB960" s="63"/>
      <c r="AC960" s="62" t="str">
        <f t="shared" si="2"/>
        <v>Amber</v>
      </c>
    </row>
    <row r="961">
      <c r="U961" s="62" t="str">
        <f>IFERROR(__xludf.DUMMYFUNCTION("""COMPUTED_VALUE"""),"1 Star Fragment")</f>
        <v>1 Star Fragment</v>
      </c>
      <c r="V961" s="62">
        <f>IFERROR(__xludf.DUMMYFUNCTION("SPLIT(U961,"" "")"),1.0)</f>
        <v>1</v>
      </c>
      <c r="W961" s="62" t="str">
        <f>IFERROR(__xludf.DUMMYFUNCTION("""COMPUTED_VALUE"""),"Star")</f>
        <v>Star</v>
      </c>
      <c r="X961" s="62" t="str">
        <f>IFERROR(__xludf.DUMMYFUNCTION("""COMPUTED_VALUE"""),"Fragment")</f>
        <v>Fragment</v>
      </c>
      <c r="Y961" s="62"/>
      <c r="Z961" s="62"/>
      <c r="AA961" s="62"/>
      <c r="AB961" s="63"/>
      <c r="AC961" s="62" t="str">
        <f t="shared" si="2"/>
        <v>Star Fragment</v>
      </c>
    </row>
    <row r="962">
      <c r="U962" s="62" t="str">
        <f>IFERROR(__xludf.DUMMYFUNCTION("""COMPUTED_VALUE"""),"20 Amber")</f>
        <v>20 Amber</v>
      </c>
      <c r="V962" s="62">
        <f>IFERROR(__xludf.DUMMYFUNCTION("SPLIT(U962,"" "")"),20.0)</f>
        <v>20</v>
      </c>
      <c r="W962" s="62" t="str">
        <f>IFERROR(__xludf.DUMMYFUNCTION("""COMPUTED_VALUE"""),"Amber")</f>
        <v>Amber</v>
      </c>
      <c r="X962" s="62"/>
      <c r="Y962" s="62"/>
      <c r="Z962" s="62"/>
      <c r="AA962" s="62"/>
      <c r="AB962" s="63"/>
      <c r="AC962" s="62" t="str">
        <f t="shared" si="2"/>
        <v>Amber</v>
      </c>
    </row>
    <row r="963">
      <c r="U963" s="62" t="str">
        <f>IFERROR(__xludf.DUMMYFUNCTION("""COMPUTED_VALUE"""),"1 Star Fragment")</f>
        <v>1 Star Fragment</v>
      </c>
      <c r="V963" s="62">
        <f>IFERROR(__xludf.DUMMYFUNCTION("SPLIT(U963,"" "")"),1.0)</f>
        <v>1</v>
      </c>
      <c r="W963" s="62" t="str">
        <f>IFERROR(__xludf.DUMMYFUNCTION("""COMPUTED_VALUE"""),"Star")</f>
        <v>Star</v>
      </c>
      <c r="X963" s="62" t="str">
        <f>IFERROR(__xludf.DUMMYFUNCTION("""COMPUTED_VALUE"""),"Fragment")</f>
        <v>Fragment</v>
      </c>
      <c r="Y963" s="62"/>
      <c r="Z963" s="62"/>
      <c r="AA963" s="62"/>
      <c r="AB963" s="63"/>
      <c r="AC963" s="62" t="str">
        <f t="shared" si="2"/>
        <v>Star Fragment</v>
      </c>
    </row>
    <row r="964">
      <c r="U964" s="62" t="str">
        <f>IFERROR(__xludf.DUMMYFUNCTION("""COMPUTED_VALUE"""),"30 Amber")</f>
        <v>30 Amber</v>
      </c>
      <c r="V964" s="62">
        <f>IFERROR(__xludf.DUMMYFUNCTION("SPLIT(U964,"" "")"),30.0)</f>
        <v>30</v>
      </c>
      <c r="W964" s="62" t="str">
        <f>IFERROR(__xludf.DUMMYFUNCTION("""COMPUTED_VALUE"""),"Amber")</f>
        <v>Amber</v>
      </c>
      <c r="X964" s="62"/>
      <c r="Y964" s="62"/>
      <c r="Z964" s="62"/>
      <c r="AA964" s="62"/>
      <c r="AB964" s="63"/>
      <c r="AC964" s="62" t="str">
        <f t="shared" si="2"/>
        <v>Amber</v>
      </c>
    </row>
    <row r="965">
      <c r="U965" s="62" t="str">
        <f>IFERROR(__xludf.DUMMYFUNCTION("""COMPUTED_VALUE"""),"1 Star Fragment")</f>
        <v>1 Star Fragment</v>
      </c>
      <c r="V965" s="62">
        <f>IFERROR(__xludf.DUMMYFUNCTION("SPLIT(U965,"" "")"),1.0)</f>
        <v>1</v>
      </c>
      <c r="W965" s="62" t="str">
        <f>IFERROR(__xludf.DUMMYFUNCTION("""COMPUTED_VALUE"""),"Star")</f>
        <v>Star</v>
      </c>
      <c r="X965" s="62" t="str">
        <f>IFERROR(__xludf.DUMMYFUNCTION("""COMPUTED_VALUE"""),"Fragment")</f>
        <v>Fragment</v>
      </c>
      <c r="Y965" s="62"/>
      <c r="Z965" s="62"/>
      <c r="AA965" s="62"/>
      <c r="AB965" s="63"/>
      <c r="AC965" s="62" t="str">
        <f t="shared" si="2"/>
        <v>Star Fragment</v>
      </c>
    </row>
    <row r="966">
      <c r="U966" s="62" t="str">
        <f>IFERROR(__xludf.DUMMYFUNCTION("""COMPUTED_VALUE"""),"40 Amber")</f>
        <v>40 Amber</v>
      </c>
      <c r="V966" s="62">
        <f>IFERROR(__xludf.DUMMYFUNCTION("SPLIT(U966,"" "")"),40.0)</f>
        <v>40</v>
      </c>
      <c r="W966" s="62" t="str">
        <f>IFERROR(__xludf.DUMMYFUNCTION("""COMPUTED_VALUE"""),"Amber")</f>
        <v>Amber</v>
      </c>
      <c r="X966" s="62"/>
      <c r="Y966" s="62"/>
      <c r="Z966" s="62"/>
      <c r="AA966" s="62"/>
      <c r="AB966" s="63"/>
      <c r="AC966" s="62" t="str">
        <f t="shared" si="2"/>
        <v>Amber</v>
      </c>
    </row>
    <row r="967">
      <c r="U967" s="62" t="str">
        <f>IFERROR(__xludf.DUMMYFUNCTION("""COMPUTED_VALUE"""),"1 Star Fragment")</f>
        <v>1 Star Fragment</v>
      </c>
      <c r="V967" s="62">
        <f>IFERROR(__xludf.DUMMYFUNCTION("SPLIT(U967,"" "")"),1.0)</f>
        <v>1</v>
      </c>
      <c r="W967" s="62" t="str">
        <f>IFERROR(__xludf.DUMMYFUNCTION("""COMPUTED_VALUE"""),"Star")</f>
        <v>Star</v>
      </c>
      <c r="X967" s="62" t="str">
        <f>IFERROR(__xludf.DUMMYFUNCTION("""COMPUTED_VALUE"""),"Fragment")</f>
        <v>Fragment</v>
      </c>
      <c r="Y967" s="62"/>
      <c r="Z967" s="62"/>
      <c r="AA967" s="62"/>
      <c r="AB967" s="63"/>
      <c r="AC967" s="62" t="str">
        <f t="shared" si="2"/>
        <v>Star Fragment</v>
      </c>
    </row>
    <row r="968">
      <c r="U968" s="62" t="str">
        <f>IFERROR(__xludf.DUMMYFUNCTION("""COMPUTED_VALUE"""),"5 Opal")</f>
        <v>5 Opal</v>
      </c>
      <c r="V968" s="62">
        <f>IFERROR(__xludf.DUMMYFUNCTION("SPLIT(U968,"" "")"),5.0)</f>
        <v>5</v>
      </c>
      <c r="W968" s="62" t="str">
        <f>IFERROR(__xludf.DUMMYFUNCTION("""COMPUTED_VALUE"""),"Opal")</f>
        <v>Opal</v>
      </c>
      <c r="X968" s="62"/>
      <c r="Y968" s="62"/>
      <c r="Z968" s="62"/>
      <c r="AA968" s="62"/>
      <c r="AB968" s="63"/>
      <c r="AC968" s="62" t="str">
        <f t="shared" si="2"/>
        <v>Opal</v>
      </c>
    </row>
    <row r="969">
      <c r="U969" s="62" t="str">
        <f>IFERROR(__xludf.DUMMYFUNCTION("""COMPUTED_VALUE"""),"1 Star Fragment")</f>
        <v>1 Star Fragment</v>
      </c>
      <c r="V969" s="62">
        <f>IFERROR(__xludf.DUMMYFUNCTION("SPLIT(U969,"" "")"),1.0)</f>
        <v>1</v>
      </c>
      <c r="W969" s="62" t="str">
        <f>IFERROR(__xludf.DUMMYFUNCTION("""COMPUTED_VALUE"""),"Star")</f>
        <v>Star</v>
      </c>
      <c r="X969" s="62" t="str">
        <f>IFERROR(__xludf.DUMMYFUNCTION("""COMPUTED_VALUE"""),"Fragment")</f>
        <v>Fragment</v>
      </c>
      <c r="Y969" s="62"/>
      <c r="Z969" s="62"/>
      <c r="AA969" s="62"/>
      <c r="AB969" s="63"/>
      <c r="AC969" s="62" t="str">
        <f t="shared" si="2"/>
        <v>Star Fragment</v>
      </c>
    </row>
    <row r="970">
      <c r="U970" s="62" t="str">
        <f>IFERROR(__xludf.DUMMYFUNCTION("""COMPUTED_VALUE"""),"10 Opal")</f>
        <v>10 Opal</v>
      </c>
      <c r="V970" s="62">
        <f>IFERROR(__xludf.DUMMYFUNCTION("SPLIT(U970,"" "")"),10.0)</f>
        <v>10</v>
      </c>
      <c r="W970" s="62" t="str">
        <f>IFERROR(__xludf.DUMMYFUNCTION("""COMPUTED_VALUE"""),"Opal")</f>
        <v>Opal</v>
      </c>
      <c r="X970" s="62"/>
      <c r="Y970" s="62"/>
      <c r="Z970" s="62"/>
      <c r="AA970" s="62"/>
      <c r="AB970" s="63"/>
      <c r="AC970" s="62" t="str">
        <f t="shared" si="2"/>
        <v>Opal</v>
      </c>
    </row>
    <row r="971">
      <c r="U971" s="62" t="str">
        <f>IFERROR(__xludf.DUMMYFUNCTION("""COMPUTED_VALUE"""),"1 Star Fragment")</f>
        <v>1 Star Fragment</v>
      </c>
      <c r="V971" s="62">
        <f>IFERROR(__xludf.DUMMYFUNCTION("SPLIT(U971,"" "")"),1.0)</f>
        <v>1</v>
      </c>
      <c r="W971" s="62" t="str">
        <f>IFERROR(__xludf.DUMMYFUNCTION("""COMPUTED_VALUE"""),"Star")</f>
        <v>Star</v>
      </c>
      <c r="X971" s="62" t="str">
        <f>IFERROR(__xludf.DUMMYFUNCTION("""COMPUTED_VALUE"""),"Fragment")</f>
        <v>Fragment</v>
      </c>
      <c r="Y971" s="62"/>
      <c r="Z971" s="62"/>
      <c r="AA971" s="62"/>
      <c r="AB971" s="63"/>
      <c r="AC971" s="62" t="str">
        <f t="shared" si="2"/>
        <v>Star Fragment</v>
      </c>
    </row>
    <row r="972">
      <c r="U972" s="62" t="str">
        <f>IFERROR(__xludf.DUMMYFUNCTION("""COMPUTED_VALUE"""),"15 Opal")</f>
        <v>15 Opal</v>
      </c>
      <c r="V972" s="62">
        <f>IFERROR(__xludf.DUMMYFUNCTION("SPLIT(U972,"" "")"),15.0)</f>
        <v>15</v>
      </c>
      <c r="W972" s="62" t="str">
        <f>IFERROR(__xludf.DUMMYFUNCTION("""COMPUTED_VALUE"""),"Opal")</f>
        <v>Opal</v>
      </c>
      <c r="X972" s="62"/>
      <c r="Y972" s="62"/>
      <c r="Z972" s="62"/>
      <c r="AA972" s="62"/>
      <c r="AB972" s="63"/>
      <c r="AC972" s="62" t="str">
        <f t="shared" si="2"/>
        <v>Opal</v>
      </c>
    </row>
    <row r="973">
      <c r="U973" s="62" t="str">
        <f>IFERROR(__xludf.DUMMYFUNCTION("""COMPUTED_VALUE"""),"1 Star Fragment")</f>
        <v>1 Star Fragment</v>
      </c>
      <c r="V973" s="62">
        <f>IFERROR(__xludf.DUMMYFUNCTION("SPLIT(U973,"" "")"),1.0)</f>
        <v>1</v>
      </c>
      <c r="W973" s="62" t="str">
        <f>IFERROR(__xludf.DUMMYFUNCTION("""COMPUTED_VALUE"""),"Star")</f>
        <v>Star</v>
      </c>
      <c r="X973" s="62" t="str">
        <f>IFERROR(__xludf.DUMMYFUNCTION("""COMPUTED_VALUE"""),"Fragment")</f>
        <v>Fragment</v>
      </c>
      <c r="Y973" s="62"/>
      <c r="Z973" s="62"/>
      <c r="AA973" s="62"/>
      <c r="AB973" s="63"/>
      <c r="AC973" s="62" t="str">
        <f t="shared" si="2"/>
        <v>Star Fragment</v>
      </c>
    </row>
    <row r="974">
      <c r="U974" s="62" t="str">
        <f>IFERROR(__xludf.DUMMYFUNCTION("""COMPUTED_VALUE"""),"25 Opal")</f>
        <v>25 Opal</v>
      </c>
      <c r="V974" s="62">
        <f>IFERROR(__xludf.DUMMYFUNCTION("SPLIT(U974,"" "")"),25.0)</f>
        <v>25</v>
      </c>
      <c r="W974" s="62" t="str">
        <f>IFERROR(__xludf.DUMMYFUNCTION("""COMPUTED_VALUE"""),"Opal")</f>
        <v>Opal</v>
      </c>
      <c r="X974" s="62"/>
      <c r="Y974" s="62"/>
      <c r="Z974" s="62"/>
      <c r="AA974" s="62"/>
      <c r="AB974" s="63"/>
      <c r="AC974" s="62" t="str">
        <f t="shared" si="2"/>
        <v>Opal</v>
      </c>
    </row>
    <row r="975">
      <c r="U975" s="62" t="str">
        <f>IFERROR(__xludf.DUMMYFUNCTION("""COMPUTED_VALUE"""),"1 Star Fragment")</f>
        <v>1 Star Fragment</v>
      </c>
      <c r="V975" s="62">
        <f>IFERROR(__xludf.DUMMYFUNCTION("SPLIT(U975,"" "")"),1.0)</f>
        <v>1</v>
      </c>
      <c r="W975" s="62" t="str">
        <f>IFERROR(__xludf.DUMMYFUNCTION("""COMPUTED_VALUE"""),"Star")</f>
        <v>Star</v>
      </c>
      <c r="X975" s="62" t="str">
        <f>IFERROR(__xludf.DUMMYFUNCTION("""COMPUTED_VALUE"""),"Fragment")</f>
        <v>Fragment</v>
      </c>
      <c r="Y975" s="62"/>
      <c r="Z975" s="62"/>
      <c r="AA975" s="62"/>
      <c r="AB975" s="63"/>
      <c r="AC975" s="62" t="str">
        <f t="shared" si="2"/>
        <v>Star Fragment</v>
      </c>
    </row>
    <row r="976">
      <c r="U976" s="62" t="str">
        <f>IFERROR(__xludf.DUMMYFUNCTION("""COMPUTED_VALUE"""),"5 Opal")</f>
        <v>5 Opal</v>
      </c>
      <c r="V976" s="62">
        <f>IFERROR(__xludf.DUMMYFUNCTION("SPLIT(U976,"" "")"),5.0)</f>
        <v>5</v>
      </c>
      <c r="W976" s="62" t="str">
        <f>IFERROR(__xludf.DUMMYFUNCTION("""COMPUTED_VALUE"""),"Opal")</f>
        <v>Opal</v>
      </c>
      <c r="X976" s="62"/>
      <c r="Y976" s="62"/>
      <c r="Z976" s="62"/>
      <c r="AA976" s="62"/>
      <c r="AB976" s="63"/>
      <c r="AC976" s="62" t="str">
        <f t="shared" si="2"/>
        <v>Opal</v>
      </c>
    </row>
    <row r="977">
      <c r="U977" s="62" t="str">
        <f>IFERROR(__xludf.DUMMYFUNCTION("""COMPUTED_VALUE"""),"1 Star Fragment")</f>
        <v>1 Star Fragment</v>
      </c>
      <c r="V977" s="62">
        <f>IFERROR(__xludf.DUMMYFUNCTION("SPLIT(U977,"" "")"),1.0)</f>
        <v>1</v>
      </c>
      <c r="W977" s="62" t="str">
        <f>IFERROR(__xludf.DUMMYFUNCTION("""COMPUTED_VALUE"""),"Star")</f>
        <v>Star</v>
      </c>
      <c r="X977" s="62" t="str">
        <f>IFERROR(__xludf.DUMMYFUNCTION("""COMPUTED_VALUE"""),"Fragment")</f>
        <v>Fragment</v>
      </c>
      <c r="Y977" s="62"/>
      <c r="Z977" s="62"/>
      <c r="AA977" s="62"/>
      <c r="AB977" s="63"/>
      <c r="AC977" s="62" t="str">
        <f t="shared" si="2"/>
        <v>Star Fragment</v>
      </c>
    </row>
    <row r="978">
      <c r="U978" s="62" t="str">
        <f>IFERROR(__xludf.DUMMYFUNCTION("""COMPUTED_VALUE"""),"10 Opal")</f>
        <v>10 Opal</v>
      </c>
      <c r="V978" s="62">
        <f>IFERROR(__xludf.DUMMYFUNCTION("SPLIT(U978,"" "")"),10.0)</f>
        <v>10</v>
      </c>
      <c r="W978" s="62" t="str">
        <f>IFERROR(__xludf.DUMMYFUNCTION("""COMPUTED_VALUE"""),"Opal")</f>
        <v>Opal</v>
      </c>
      <c r="X978" s="62"/>
      <c r="Y978" s="62"/>
      <c r="Z978" s="62"/>
      <c r="AA978" s="62"/>
      <c r="AB978" s="63"/>
      <c r="AC978" s="62" t="str">
        <f t="shared" si="2"/>
        <v>Opal</v>
      </c>
    </row>
    <row r="979">
      <c r="U979" s="62" t="str">
        <f>IFERROR(__xludf.DUMMYFUNCTION("""COMPUTED_VALUE"""),"1 Star Fragment")</f>
        <v>1 Star Fragment</v>
      </c>
      <c r="V979" s="62">
        <f>IFERROR(__xludf.DUMMYFUNCTION("SPLIT(U979,"" "")"),1.0)</f>
        <v>1</v>
      </c>
      <c r="W979" s="62" t="str">
        <f>IFERROR(__xludf.DUMMYFUNCTION("""COMPUTED_VALUE"""),"Star")</f>
        <v>Star</v>
      </c>
      <c r="X979" s="62" t="str">
        <f>IFERROR(__xludf.DUMMYFUNCTION("""COMPUTED_VALUE"""),"Fragment")</f>
        <v>Fragment</v>
      </c>
      <c r="Y979" s="62"/>
      <c r="Z979" s="62"/>
      <c r="AA979" s="62"/>
      <c r="AB979" s="63"/>
      <c r="AC979" s="62" t="str">
        <f t="shared" si="2"/>
        <v>Star Fragment</v>
      </c>
    </row>
    <row r="980">
      <c r="U980" s="62" t="str">
        <f>IFERROR(__xludf.DUMMYFUNCTION("""COMPUTED_VALUE"""),"15 Opal")</f>
        <v>15 Opal</v>
      </c>
      <c r="V980" s="62">
        <f>IFERROR(__xludf.DUMMYFUNCTION("SPLIT(U980,"" "")"),15.0)</f>
        <v>15</v>
      </c>
      <c r="W980" s="62" t="str">
        <f>IFERROR(__xludf.DUMMYFUNCTION("""COMPUTED_VALUE"""),"Opal")</f>
        <v>Opal</v>
      </c>
      <c r="X980" s="62"/>
      <c r="Y980" s="62"/>
      <c r="Z980" s="62"/>
      <c r="AA980" s="62"/>
      <c r="AB980" s="63"/>
      <c r="AC980" s="62" t="str">
        <f t="shared" si="2"/>
        <v>Opal</v>
      </c>
    </row>
    <row r="981">
      <c r="U981" s="62" t="str">
        <f>IFERROR(__xludf.DUMMYFUNCTION("""COMPUTED_VALUE"""),"1 Star Fragment")</f>
        <v>1 Star Fragment</v>
      </c>
      <c r="V981" s="62">
        <f>IFERROR(__xludf.DUMMYFUNCTION("SPLIT(U981,"" "")"),1.0)</f>
        <v>1</v>
      </c>
      <c r="W981" s="62" t="str">
        <f>IFERROR(__xludf.DUMMYFUNCTION("""COMPUTED_VALUE"""),"Star")</f>
        <v>Star</v>
      </c>
      <c r="X981" s="62" t="str">
        <f>IFERROR(__xludf.DUMMYFUNCTION("""COMPUTED_VALUE"""),"Fragment")</f>
        <v>Fragment</v>
      </c>
      <c r="Y981" s="62"/>
      <c r="Z981" s="62"/>
      <c r="AA981" s="62"/>
      <c r="AB981" s="63"/>
      <c r="AC981" s="62" t="str">
        <f t="shared" si="2"/>
        <v>Star Fragment</v>
      </c>
    </row>
    <row r="982">
      <c r="U982" s="62" t="str">
        <f>IFERROR(__xludf.DUMMYFUNCTION("""COMPUTED_VALUE"""),"25 Opal")</f>
        <v>25 Opal</v>
      </c>
      <c r="V982" s="62">
        <f>IFERROR(__xludf.DUMMYFUNCTION("SPLIT(U982,"" "")"),25.0)</f>
        <v>25</v>
      </c>
      <c r="W982" s="62" t="str">
        <f>IFERROR(__xludf.DUMMYFUNCTION("""COMPUTED_VALUE"""),"Opal")</f>
        <v>Opal</v>
      </c>
      <c r="X982" s="62"/>
      <c r="Y982" s="62"/>
      <c r="Z982" s="62"/>
      <c r="AA982" s="62"/>
      <c r="AB982" s="63"/>
      <c r="AC982" s="62" t="str">
        <f t="shared" si="2"/>
        <v>Opal</v>
      </c>
    </row>
    <row r="983">
      <c r="U983" s="62" t="str">
        <f>IFERROR(__xludf.DUMMYFUNCTION("""COMPUTED_VALUE"""),"1 Star Fragment")</f>
        <v>1 Star Fragment</v>
      </c>
      <c r="V983" s="62">
        <f>IFERROR(__xludf.DUMMYFUNCTION("SPLIT(U983,"" "")"),1.0)</f>
        <v>1</v>
      </c>
      <c r="W983" s="62" t="str">
        <f>IFERROR(__xludf.DUMMYFUNCTION("""COMPUTED_VALUE"""),"Star")</f>
        <v>Star</v>
      </c>
      <c r="X983" s="62" t="str">
        <f>IFERROR(__xludf.DUMMYFUNCTION("""COMPUTED_VALUE"""),"Fragment")</f>
        <v>Fragment</v>
      </c>
      <c r="Y983" s="62"/>
      <c r="Z983" s="62"/>
      <c r="AA983" s="62"/>
      <c r="AB983" s="63"/>
      <c r="AC983" s="62" t="str">
        <f t="shared" si="2"/>
        <v>Star Fragment</v>
      </c>
    </row>
    <row r="984">
      <c r="U984" s="62" t="str">
        <f>IFERROR(__xludf.DUMMYFUNCTION("""COMPUTED_VALUE"""),"5 Opal")</f>
        <v>5 Opal</v>
      </c>
      <c r="V984" s="62">
        <f>IFERROR(__xludf.DUMMYFUNCTION("SPLIT(U984,"" "")"),5.0)</f>
        <v>5</v>
      </c>
      <c r="W984" s="62" t="str">
        <f>IFERROR(__xludf.DUMMYFUNCTION("""COMPUTED_VALUE"""),"Opal")</f>
        <v>Opal</v>
      </c>
      <c r="X984" s="62"/>
      <c r="Y984" s="62"/>
      <c r="Z984" s="62"/>
      <c r="AA984" s="62"/>
      <c r="AB984" s="63"/>
      <c r="AC984" s="62" t="str">
        <f t="shared" si="2"/>
        <v>Opal</v>
      </c>
    </row>
    <row r="985">
      <c r="U985" s="62" t="str">
        <f>IFERROR(__xludf.DUMMYFUNCTION("""COMPUTED_VALUE"""),"1 Star Fragment")</f>
        <v>1 Star Fragment</v>
      </c>
      <c r="V985" s="62">
        <f>IFERROR(__xludf.DUMMYFUNCTION("SPLIT(U985,"" "")"),1.0)</f>
        <v>1</v>
      </c>
      <c r="W985" s="62" t="str">
        <f>IFERROR(__xludf.DUMMYFUNCTION("""COMPUTED_VALUE"""),"Star")</f>
        <v>Star</v>
      </c>
      <c r="X985" s="62" t="str">
        <f>IFERROR(__xludf.DUMMYFUNCTION("""COMPUTED_VALUE"""),"Fragment")</f>
        <v>Fragment</v>
      </c>
      <c r="Y985" s="62"/>
      <c r="Z985" s="62"/>
      <c r="AA985" s="62"/>
      <c r="AB985" s="63"/>
      <c r="AC985" s="62" t="str">
        <f t="shared" si="2"/>
        <v>Star Fragment</v>
      </c>
    </row>
    <row r="986">
      <c r="U986" s="62" t="str">
        <f>IFERROR(__xludf.DUMMYFUNCTION("""COMPUTED_VALUE"""),"10 Opal")</f>
        <v>10 Opal</v>
      </c>
      <c r="V986" s="62">
        <f>IFERROR(__xludf.DUMMYFUNCTION("SPLIT(U986,"" "")"),10.0)</f>
        <v>10</v>
      </c>
      <c r="W986" s="62" t="str">
        <f>IFERROR(__xludf.DUMMYFUNCTION("""COMPUTED_VALUE"""),"Opal")</f>
        <v>Opal</v>
      </c>
      <c r="X986" s="62"/>
      <c r="Y986" s="62"/>
      <c r="Z986" s="62"/>
      <c r="AA986" s="62"/>
      <c r="AB986" s="63"/>
      <c r="AC986" s="62" t="str">
        <f t="shared" si="2"/>
        <v>Opal</v>
      </c>
    </row>
    <row r="987">
      <c r="U987" s="62" t="str">
        <f>IFERROR(__xludf.DUMMYFUNCTION("""COMPUTED_VALUE"""),"1 Star Fragment")</f>
        <v>1 Star Fragment</v>
      </c>
      <c r="V987" s="62">
        <f>IFERROR(__xludf.DUMMYFUNCTION("SPLIT(U987,"" "")"),1.0)</f>
        <v>1</v>
      </c>
      <c r="W987" s="62" t="str">
        <f>IFERROR(__xludf.DUMMYFUNCTION("""COMPUTED_VALUE"""),"Star")</f>
        <v>Star</v>
      </c>
      <c r="X987" s="62" t="str">
        <f>IFERROR(__xludf.DUMMYFUNCTION("""COMPUTED_VALUE"""),"Fragment")</f>
        <v>Fragment</v>
      </c>
      <c r="Y987" s="62"/>
      <c r="Z987" s="62"/>
      <c r="AA987" s="62"/>
      <c r="AB987" s="63"/>
      <c r="AC987" s="62" t="str">
        <f t="shared" si="2"/>
        <v>Star Fragment</v>
      </c>
    </row>
    <row r="988">
      <c r="U988" s="62" t="str">
        <f>IFERROR(__xludf.DUMMYFUNCTION("""COMPUTED_VALUE"""),"15 Opal")</f>
        <v>15 Opal</v>
      </c>
      <c r="V988" s="62">
        <f>IFERROR(__xludf.DUMMYFUNCTION("SPLIT(U988,"" "")"),15.0)</f>
        <v>15</v>
      </c>
      <c r="W988" s="62" t="str">
        <f>IFERROR(__xludf.DUMMYFUNCTION("""COMPUTED_VALUE"""),"Opal")</f>
        <v>Opal</v>
      </c>
      <c r="X988" s="62"/>
      <c r="Y988" s="62"/>
      <c r="Z988" s="62"/>
      <c r="AA988" s="62"/>
      <c r="AB988" s="63"/>
      <c r="AC988" s="62" t="str">
        <f t="shared" si="2"/>
        <v>Opal</v>
      </c>
    </row>
    <row r="989">
      <c r="U989" s="62" t="str">
        <f>IFERROR(__xludf.DUMMYFUNCTION("""COMPUTED_VALUE"""),"1 Star Fragment")</f>
        <v>1 Star Fragment</v>
      </c>
      <c r="V989" s="62">
        <f>IFERROR(__xludf.DUMMYFUNCTION("SPLIT(U989,"" "")"),1.0)</f>
        <v>1</v>
      </c>
      <c r="W989" s="62" t="str">
        <f>IFERROR(__xludf.DUMMYFUNCTION("""COMPUTED_VALUE"""),"Star")</f>
        <v>Star</v>
      </c>
      <c r="X989" s="62" t="str">
        <f>IFERROR(__xludf.DUMMYFUNCTION("""COMPUTED_VALUE"""),"Fragment")</f>
        <v>Fragment</v>
      </c>
      <c r="Y989" s="62"/>
      <c r="Z989" s="62"/>
      <c r="AA989" s="62"/>
      <c r="AB989" s="63"/>
      <c r="AC989" s="62" t="str">
        <f t="shared" si="2"/>
        <v>Star Fragment</v>
      </c>
    </row>
    <row r="990">
      <c r="U990" s="62" t="str">
        <f>IFERROR(__xludf.DUMMYFUNCTION("""COMPUTED_VALUE"""),"25 Opal")</f>
        <v>25 Opal</v>
      </c>
      <c r="V990" s="62">
        <f>IFERROR(__xludf.DUMMYFUNCTION("SPLIT(U990,"" "")"),25.0)</f>
        <v>25</v>
      </c>
      <c r="W990" s="62" t="str">
        <f>IFERROR(__xludf.DUMMYFUNCTION("""COMPUTED_VALUE"""),"Opal")</f>
        <v>Opal</v>
      </c>
      <c r="X990" s="62"/>
      <c r="Y990" s="62"/>
      <c r="Z990" s="62"/>
      <c r="AA990" s="62"/>
      <c r="AB990" s="63"/>
      <c r="AC990" s="62" t="str">
        <f t="shared" si="2"/>
        <v>Opal</v>
      </c>
    </row>
    <row r="991">
      <c r="U991" s="62" t="str">
        <f>IFERROR(__xludf.DUMMYFUNCTION("""COMPUTED_VALUE"""),"1 Star Fragment")</f>
        <v>1 Star Fragment</v>
      </c>
      <c r="V991" s="62">
        <f>IFERROR(__xludf.DUMMYFUNCTION("SPLIT(U991,"" "")"),1.0)</f>
        <v>1</v>
      </c>
      <c r="W991" s="62" t="str">
        <f>IFERROR(__xludf.DUMMYFUNCTION("""COMPUTED_VALUE"""),"Star")</f>
        <v>Star</v>
      </c>
      <c r="X991" s="62" t="str">
        <f>IFERROR(__xludf.DUMMYFUNCTION("""COMPUTED_VALUE"""),"Fragment")</f>
        <v>Fragment</v>
      </c>
      <c r="Y991" s="62"/>
      <c r="Z991" s="62"/>
      <c r="AA991" s="62"/>
      <c r="AB991" s="63"/>
      <c r="AC991" s="62" t="str">
        <f t="shared" si="2"/>
        <v>Star Fragment</v>
      </c>
    </row>
    <row r="992">
      <c r="U992" s="62" t="str">
        <f>IFERROR(__xludf.DUMMYFUNCTION("""COMPUTED_VALUE"""),"1 Topaz")</f>
        <v>1 Topaz</v>
      </c>
      <c r="V992" s="62">
        <f>IFERROR(__xludf.DUMMYFUNCTION("SPLIT(U992,"" "")"),1.0)</f>
        <v>1</v>
      </c>
      <c r="W992" s="62" t="str">
        <f>IFERROR(__xludf.DUMMYFUNCTION("""COMPUTED_VALUE"""),"Topaz")</f>
        <v>Topaz</v>
      </c>
      <c r="X992" s="62"/>
      <c r="Y992" s="62"/>
      <c r="Z992" s="62"/>
      <c r="AA992" s="62"/>
      <c r="AB992" s="63"/>
      <c r="AC992" s="62" t="str">
        <f t="shared" si="2"/>
        <v>Topaz</v>
      </c>
    </row>
    <row r="993">
      <c r="U993" s="62" t="str">
        <f>IFERROR(__xludf.DUMMYFUNCTION("""COMPUTED_VALUE"""),"1 Star Fragment")</f>
        <v>1 Star Fragment</v>
      </c>
      <c r="V993" s="62">
        <f>IFERROR(__xludf.DUMMYFUNCTION("SPLIT(U993,"" "")"),1.0)</f>
        <v>1</v>
      </c>
      <c r="W993" s="62" t="str">
        <f>IFERROR(__xludf.DUMMYFUNCTION("""COMPUTED_VALUE"""),"Star")</f>
        <v>Star</v>
      </c>
      <c r="X993" s="62" t="str">
        <f>IFERROR(__xludf.DUMMYFUNCTION("""COMPUTED_VALUE"""),"Fragment")</f>
        <v>Fragment</v>
      </c>
      <c r="Y993" s="62"/>
      <c r="Z993" s="62"/>
      <c r="AA993" s="62"/>
      <c r="AB993" s="63"/>
      <c r="AC993" s="62" t="str">
        <f t="shared" si="2"/>
        <v>Star Fragment</v>
      </c>
    </row>
    <row r="994">
      <c r="U994" s="62" t="str">
        <f>IFERROR(__xludf.DUMMYFUNCTION("""COMPUTED_VALUE"""),"4 Topaz")</f>
        <v>4 Topaz</v>
      </c>
      <c r="V994" s="62">
        <f>IFERROR(__xludf.DUMMYFUNCTION("SPLIT(U994,"" "")"),4.0)</f>
        <v>4</v>
      </c>
      <c r="W994" s="62" t="str">
        <f>IFERROR(__xludf.DUMMYFUNCTION("""COMPUTED_VALUE"""),"Topaz")</f>
        <v>Topaz</v>
      </c>
      <c r="X994" s="62"/>
      <c r="Y994" s="62"/>
      <c r="Z994" s="62"/>
      <c r="AA994" s="62"/>
      <c r="AB994" s="63"/>
      <c r="AC994" s="62" t="str">
        <f t="shared" si="2"/>
        <v>Topaz</v>
      </c>
    </row>
    <row r="995">
      <c r="U995" s="62" t="str">
        <f>IFERROR(__xludf.DUMMYFUNCTION("""COMPUTED_VALUE"""),"1 Star Fragment")</f>
        <v>1 Star Fragment</v>
      </c>
      <c r="V995" s="62">
        <f>IFERROR(__xludf.DUMMYFUNCTION("SPLIT(U995,"" "")"),1.0)</f>
        <v>1</v>
      </c>
      <c r="W995" s="62" t="str">
        <f>IFERROR(__xludf.DUMMYFUNCTION("""COMPUTED_VALUE"""),"Star")</f>
        <v>Star</v>
      </c>
      <c r="X995" s="62" t="str">
        <f>IFERROR(__xludf.DUMMYFUNCTION("""COMPUTED_VALUE"""),"Fragment")</f>
        <v>Fragment</v>
      </c>
      <c r="Y995" s="62"/>
      <c r="Z995" s="62"/>
      <c r="AA995" s="62"/>
      <c r="AB995" s="63"/>
      <c r="AC995" s="62" t="str">
        <f t="shared" si="2"/>
        <v>Star Fragment</v>
      </c>
    </row>
    <row r="996">
      <c r="U996" s="62" t="str">
        <f>IFERROR(__xludf.DUMMYFUNCTION("""COMPUTED_VALUE"""),"6 Topaz")</f>
        <v>6 Topaz</v>
      </c>
      <c r="V996" s="62">
        <f>IFERROR(__xludf.DUMMYFUNCTION("SPLIT(U996,"" "")"),6.0)</f>
        <v>6</v>
      </c>
      <c r="W996" s="62" t="str">
        <f>IFERROR(__xludf.DUMMYFUNCTION("""COMPUTED_VALUE"""),"Topaz")</f>
        <v>Topaz</v>
      </c>
      <c r="X996" s="62"/>
      <c r="Y996" s="62"/>
      <c r="Z996" s="62"/>
      <c r="AA996" s="62"/>
      <c r="AB996" s="63"/>
      <c r="AC996" s="62" t="str">
        <f t="shared" si="2"/>
        <v>Topaz</v>
      </c>
    </row>
    <row r="997">
      <c r="U997" s="62" t="str">
        <f>IFERROR(__xludf.DUMMYFUNCTION("""COMPUTED_VALUE"""),"1 Star Fragment")</f>
        <v>1 Star Fragment</v>
      </c>
      <c r="V997" s="62">
        <f>IFERROR(__xludf.DUMMYFUNCTION("SPLIT(U997,"" "")"),1.0)</f>
        <v>1</v>
      </c>
      <c r="W997" s="62" t="str">
        <f>IFERROR(__xludf.DUMMYFUNCTION("""COMPUTED_VALUE"""),"Star")</f>
        <v>Star</v>
      </c>
      <c r="X997" s="62" t="str">
        <f>IFERROR(__xludf.DUMMYFUNCTION("""COMPUTED_VALUE"""),"Fragment")</f>
        <v>Fragment</v>
      </c>
      <c r="Y997" s="62"/>
      <c r="Z997" s="62"/>
      <c r="AA997" s="62"/>
      <c r="AB997" s="63"/>
      <c r="AC997" s="62" t="str">
        <f t="shared" si="2"/>
        <v>Star Fragment</v>
      </c>
    </row>
    <row r="998">
      <c r="U998" s="62" t="str">
        <f>IFERROR(__xludf.DUMMYFUNCTION("""COMPUTED_VALUE"""),"10 Topaz")</f>
        <v>10 Topaz</v>
      </c>
      <c r="V998" s="62">
        <f>IFERROR(__xludf.DUMMYFUNCTION("SPLIT(U998,"" "")"),10.0)</f>
        <v>10</v>
      </c>
      <c r="W998" s="62" t="str">
        <f>IFERROR(__xludf.DUMMYFUNCTION("""COMPUTED_VALUE"""),"Topaz")</f>
        <v>Topaz</v>
      </c>
      <c r="X998" s="62"/>
      <c r="Y998" s="62"/>
      <c r="Z998" s="62"/>
      <c r="AA998" s="62"/>
      <c r="AB998" s="63"/>
      <c r="AC998" s="62" t="str">
        <f t="shared" si="2"/>
        <v>Topaz</v>
      </c>
    </row>
    <row r="999">
      <c r="U999" s="62" t="str">
        <f>IFERROR(__xludf.DUMMYFUNCTION("""COMPUTED_VALUE"""),"1 Star Fragment")</f>
        <v>1 Star Fragment</v>
      </c>
      <c r="V999" s="62">
        <f>IFERROR(__xludf.DUMMYFUNCTION("SPLIT(U999,"" "")"),1.0)</f>
        <v>1</v>
      </c>
      <c r="W999" s="62" t="str">
        <f>IFERROR(__xludf.DUMMYFUNCTION("""COMPUTED_VALUE"""),"Star")</f>
        <v>Star</v>
      </c>
      <c r="X999" s="62" t="str">
        <f>IFERROR(__xludf.DUMMYFUNCTION("""COMPUTED_VALUE"""),"Fragment")</f>
        <v>Fragment</v>
      </c>
      <c r="Y999" s="62"/>
      <c r="Z999" s="62"/>
      <c r="AA999" s="62"/>
      <c r="AB999" s="63"/>
      <c r="AC999" s="62" t="str">
        <f t="shared" si="2"/>
        <v>Star Fragment</v>
      </c>
    </row>
    <row r="1000">
      <c r="U1000" s="62" t="str">
        <f>IFERROR(__xludf.DUMMYFUNCTION("""COMPUTED_VALUE"""),"1 Topaz")</f>
        <v>1 Topaz</v>
      </c>
      <c r="V1000" s="62">
        <f>IFERROR(__xludf.DUMMYFUNCTION("SPLIT(U1000,"" "")"),1.0)</f>
        <v>1</v>
      </c>
      <c r="W1000" s="62" t="str">
        <f>IFERROR(__xludf.DUMMYFUNCTION("""COMPUTED_VALUE"""),"Topaz")</f>
        <v>Topaz</v>
      </c>
      <c r="X1000" s="62"/>
      <c r="Y1000" s="62"/>
      <c r="Z1000" s="62"/>
      <c r="AA1000" s="62"/>
      <c r="AB1000" s="63"/>
      <c r="AC1000" s="62" t="str">
        <f t="shared" si="2"/>
        <v>Topaz</v>
      </c>
    </row>
    <row r="1001">
      <c r="U1001" s="62" t="str">
        <f>IFERROR(__xludf.DUMMYFUNCTION("""COMPUTED_VALUE"""),"1 Star Fragment")</f>
        <v>1 Star Fragment</v>
      </c>
      <c r="V1001" s="62">
        <f>IFERROR(__xludf.DUMMYFUNCTION("SPLIT(U1001,"" "")"),1.0)</f>
        <v>1</v>
      </c>
      <c r="W1001" s="62" t="str">
        <f>IFERROR(__xludf.DUMMYFUNCTION("""COMPUTED_VALUE"""),"Star")</f>
        <v>Star</v>
      </c>
      <c r="X1001" s="62" t="str">
        <f>IFERROR(__xludf.DUMMYFUNCTION("""COMPUTED_VALUE"""),"Fragment")</f>
        <v>Fragment</v>
      </c>
      <c r="Y1001" s="62"/>
      <c r="Z1001" s="62"/>
      <c r="AA1001" s="62"/>
      <c r="AB1001" s="63"/>
      <c r="AC1001" s="62" t="str">
        <f t="shared" si="2"/>
        <v>Star Fragment</v>
      </c>
    </row>
    <row r="1002">
      <c r="U1002" s="62" t="str">
        <f>IFERROR(__xludf.DUMMYFUNCTION("""COMPUTED_VALUE"""),"4 Topaz")</f>
        <v>4 Topaz</v>
      </c>
      <c r="V1002" s="62">
        <f>IFERROR(__xludf.DUMMYFUNCTION("SPLIT(U1002,"" "")"),4.0)</f>
        <v>4</v>
      </c>
      <c r="W1002" s="62" t="str">
        <f>IFERROR(__xludf.DUMMYFUNCTION("""COMPUTED_VALUE"""),"Topaz")</f>
        <v>Topaz</v>
      </c>
      <c r="X1002" s="62"/>
      <c r="Y1002" s="62"/>
      <c r="Z1002" s="62"/>
      <c r="AA1002" s="62"/>
      <c r="AB1002" s="63"/>
      <c r="AC1002" s="62" t="str">
        <f t="shared" si="2"/>
        <v>Topaz</v>
      </c>
    </row>
    <row r="1003">
      <c r="U1003" s="62" t="str">
        <f>IFERROR(__xludf.DUMMYFUNCTION("""COMPUTED_VALUE"""),"1 Star Fragment")</f>
        <v>1 Star Fragment</v>
      </c>
      <c r="V1003" s="62">
        <f>IFERROR(__xludf.DUMMYFUNCTION("SPLIT(U1003,"" "")"),1.0)</f>
        <v>1</v>
      </c>
      <c r="W1003" s="62" t="str">
        <f>IFERROR(__xludf.DUMMYFUNCTION("""COMPUTED_VALUE"""),"Star")</f>
        <v>Star</v>
      </c>
      <c r="X1003" s="62" t="str">
        <f>IFERROR(__xludf.DUMMYFUNCTION("""COMPUTED_VALUE"""),"Fragment")</f>
        <v>Fragment</v>
      </c>
      <c r="Y1003" s="62"/>
      <c r="Z1003" s="62"/>
      <c r="AA1003" s="62"/>
      <c r="AB1003" s="63"/>
      <c r="AC1003" s="62" t="str">
        <f t="shared" si="2"/>
        <v>Star Fragment</v>
      </c>
    </row>
    <row r="1004">
      <c r="U1004" s="62" t="str">
        <f>IFERROR(__xludf.DUMMYFUNCTION("""COMPUTED_VALUE"""),"6 Topaz")</f>
        <v>6 Topaz</v>
      </c>
      <c r="V1004" s="62">
        <f>IFERROR(__xludf.DUMMYFUNCTION("SPLIT(U1004,"" "")"),6.0)</f>
        <v>6</v>
      </c>
      <c r="W1004" s="62" t="str">
        <f>IFERROR(__xludf.DUMMYFUNCTION("""COMPUTED_VALUE"""),"Topaz")</f>
        <v>Topaz</v>
      </c>
      <c r="X1004" s="62"/>
      <c r="Y1004" s="62"/>
      <c r="Z1004" s="62"/>
      <c r="AA1004" s="62"/>
      <c r="AB1004" s="63"/>
      <c r="AC1004" s="62" t="str">
        <f t="shared" si="2"/>
        <v>Topaz</v>
      </c>
    </row>
    <row r="1005">
      <c r="U1005" s="62" t="str">
        <f>IFERROR(__xludf.DUMMYFUNCTION("""COMPUTED_VALUE"""),"1 Star Fragment")</f>
        <v>1 Star Fragment</v>
      </c>
      <c r="V1005" s="62">
        <f>IFERROR(__xludf.DUMMYFUNCTION("SPLIT(U1005,"" "")"),1.0)</f>
        <v>1</v>
      </c>
      <c r="W1005" s="62" t="str">
        <f>IFERROR(__xludf.DUMMYFUNCTION("""COMPUTED_VALUE"""),"Star")</f>
        <v>Star</v>
      </c>
      <c r="X1005" s="62" t="str">
        <f>IFERROR(__xludf.DUMMYFUNCTION("""COMPUTED_VALUE"""),"Fragment")</f>
        <v>Fragment</v>
      </c>
      <c r="Y1005" s="62"/>
      <c r="Z1005" s="62"/>
      <c r="AA1005" s="62"/>
      <c r="AB1005" s="63"/>
      <c r="AC1005" s="62" t="str">
        <f t="shared" si="2"/>
        <v>Star Fragment</v>
      </c>
    </row>
    <row r="1006">
      <c r="U1006" s="62" t="str">
        <f>IFERROR(__xludf.DUMMYFUNCTION("""COMPUTED_VALUE"""),"10 Topaz")</f>
        <v>10 Topaz</v>
      </c>
      <c r="V1006" s="62">
        <f>IFERROR(__xludf.DUMMYFUNCTION("SPLIT(U1006,"" "")"),10.0)</f>
        <v>10</v>
      </c>
      <c r="W1006" s="62" t="str">
        <f>IFERROR(__xludf.DUMMYFUNCTION("""COMPUTED_VALUE"""),"Topaz")</f>
        <v>Topaz</v>
      </c>
      <c r="X1006" s="62"/>
      <c r="Y1006" s="62"/>
      <c r="Z1006" s="62"/>
      <c r="AA1006" s="62"/>
      <c r="AB1006" s="63"/>
      <c r="AC1006" s="62" t="str">
        <f t="shared" si="2"/>
        <v>Topaz</v>
      </c>
    </row>
    <row r="1007">
      <c r="U1007" s="62" t="str">
        <f>IFERROR(__xludf.DUMMYFUNCTION("""COMPUTED_VALUE"""),"1 Star Fragment")</f>
        <v>1 Star Fragment</v>
      </c>
      <c r="V1007" s="62">
        <f>IFERROR(__xludf.DUMMYFUNCTION("SPLIT(U1007,"" "")"),1.0)</f>
        <v>1</v>
      </c>
      <c r="W1007" s="62" t="str">
        <f>IFERROR(__xludf.DUMMYFUNCTION("""COMPUTED_VALUE"""),"Star")</f>
        <v>Star</v>
      </c>
      <c r="X1007" s="62" t="str">
        <f>IFERROR(__xludf.DUMMYFUNCTION("""COMPUTED_VALUE"""),"Fragment")</f>
        <v>Fragment</v>
      </c>
      <c r="Y1007" s="62"/>
      <c r="Z1007" s="62"/>
      <c r="AA1007" s="62"/>
      <c r="AB1007" s="63"/>
      <c r="AC1007" s="62" t="str">
        <f t="shared" si="2"/>
        <v>Star Fragment</v>
      </c>
    </row>
    <row r="1008">
      <c r="U1008" s="62" t="str">
        <f>IFERROR(__xludf.DUMMYFUNCTION("""COMPUTED_VALUE"""),"1 Topaz")</f>
        <v>1 Topaz</v>
      </c>
      <c r="V1008" s="62">
        <f>IFERROR(__xludf.DUMMYFUNCTION("SPLIT(U1008,"" "")"),1.0)</f>
        <v>1</v>
      </c>
      <c r="W1008" s="62" t="str">
        <f>IFERROR(__xludf.DUMMYFUNCTION("""COMPUTED_VALUE"""),"Topaz")</f>
        <v>Topaz</v>
      </c>
      <c r="X1008" s="62"/>
      <c r="Y1008" s="62"/>
      <c r="Z1008" s="62"/>
      <c r="AA1008" s="62"/>
      <c r="AB1008" s="63"/>
      <c r="AC1008" s="62" t="str">
        <f t="shared" si="2"/>
        <v>Topaz</v>
      </c>
    </row>
    <row r="1009">
      <c r="U1009" s="62" t="str">
        <f>IFERROR(__xludf.DUMMYFUNCTION("""COMPUTED_VALUE"""),"1 Star Fragment")</f>
        <v>1 Star Fragment</v>
      </c>
      <c r="V1009" s="62">
        <f>IFERROR(__xludf.DUMMYFUNCTION("SPLIT(U1009,"" "")"),1.0)</f>
        <v>1</v>
      </c>
      <c r="W1009" s="62" t="str">
        <f>IFERROR(__xludf.DUMMYFUNCTION("""COMPUTED_VALUE"""),"Star")</f>
        <v>Star</v>
      </c>
      <c r="X1009" s="62" t="str">
        <f>IFERROR(__xludf.DUMMYFUNCTION("""COMPUTED_VALUE"""),"Fragment")</f>
        <v>Fragment</v>
      </c>
      <c r="Y1009" s="62"/>
      <c r="Z1009" s="62"/>
      <c r="AA1009" s="62"/>
      <c r="AB1009" s="63"/>
      <c r="AC1009" s="62" t="str">
        <f t="shared" si="2"/>
        <v>Star Fragment</v>
      </c>
    </row>
    <row r="1010">
      <c r="U1010" s="62" t="str">
        <f>IFERROR(__xludf.DUMMYFUNCTION("""COMPUTED_VALUE"""),"4 Topaz")</f>
        <v>4 Topaz</v>
      </c>
      <c r="V1010" s="62">
        <f>IFERROR(__xludf.DUMMYFUNCTION("SPLIT(U1010,"" "")"),4.0)</f>
        <v>4</v>
      </c>
      <c r="W1010" s="62" t="str">
        <f>IFERROR(__xludf.DUMMYFUNCTION("""COMPUTED_VALUE"""),"Topaz")</f>
        <v>Topaz</v>
      </c>
      <c r="X1010" s="62"/>
      <c r="Y1010" s="62"/>
      <c r="Z1010" s="62"/>
      <c r="AA1010" s="62"/>
      <c r="AB1010" s="63"/>
      <c r="AC1010" s="62" t="str">
        <f t="shared" si="2"/>
        <v>Topaz</v>
      </c>
    </row>
    <row r="1011">
      <c r="U1011" s="62" t="str">
        <f>IFERROR(__xludf.DUMMYFUNCTION("""COMPUTED_VALUE"""),"1 Star Fragment")</f>
        <v>1 Star Fragment</v>
      </c>
      <c r="V1011" s="62">
        <f>IFERROR(__xludf.DUMMYFUNCTION("SPLIT(U1011,"" "")"),1.0)</f>
        <v>1</v>
      </c>
      <c r="W1011" s="62" t="str">
        <f>IFERROR(__xludf.DUMMYFUNCTION("""COMPUTED_VALUE"""),"Star")</f>
        <v>Star</v>
      </c>
      <c r="X1011" s="62" t="str">
        <f>IFERROR(__xludf.DUMMYFUNCTION("""COMPUTED_VALUE"""),"Fragment")</f>
        <v>Fragment</v>
      </c>
      <c r="Y1011" s="62"/>
      <c r="Z1011" s="62"/>
      <c r="AA1011" s="62"/>
      <c r="AB1011" s="63"/>
      <c r="AC1011" s="62" t="str">
        <f t="shared" si="2"/>
        <v>Star Fragment</v>
      </c>
    </row>
    <row r="1012">
      <c r="U1012" s="62" t="str">
        <f>IFERROR(__xludf.DUMMYFUNCTION("""COMPUTED_VALUE"""),"6 Topaz")</f>
        <v>6 Topaz</v>
      </c>
      <c r="V1012" s="62">
        <f>IFERROR(__xludf.DUMMYFUNCTION("SPLIT(U1012,"" "")"),6.0)</f>
        <v>6</v>
      </c>
      <c r="W1012" s="62" t="str">
        <f>IFERROR(__xludf.DUMMYFUNCTION("""COMPUTED_VALUE"""),"Topaz")</f>
        <v>Topaz</v>
      </c>
      <c r="X1012" s="62"/>
      <c r="Y1012" s="62"/>
      <c r="Z1012" s="62"/>
      <c r="AA1012" s="62"/>
      <c r="AB1012" s="63"/>
      <c r="AC1012" s="62" t="str">
        <f t="shared" si="2"/>
        <v>Topaz</v>
      </c>
    </row>
    <row r="1013">
      <c r="U1013" s="62" t="str">
        <f>IFERROR(__xludf.DUMMYFUNCTION("""COMPUTED_VALUE"""),"1 Star Fragment")</f>
        <v>1 Star Fragment</v>
      </c>
      <c r="V1013" s="62">
        <f>IFERROR(__xludf.DUMMYFUNCTION("SPLIT(U1013,"" "")"),1.0)</f>
        <v>1</v>
      </c>
      <c r="W1013" s="62" t="str">
        <f>IFERROR(__xludf.DUMMYFUNCTION("""COMPUTED_VALUE"""),"Star")</f>
        <v>Star</v>
      </c>
      <c r="X1013" s="62" t="str">
        <f>IFERROR(__xludf.DUMMYFUNCTION("""COMPUTED_VALUE"""),"Fragment")</f>
        <v>Fragment</v>
      </c>
      <c r="Y1013" s="62"/>
      <c r="Z1013" s="62"/>
      <c r="AA1013" s="62"/>
      <c r="AB1013" s="63"/>
      <c r="AC1013" s="62" t="str">
        <f t="shared" si="2"/>
        <v>Star Fragment</v>
      </c>
    </row>
    <row r="1014">
      <c r="U1014" s="62" t="str">
        <f>IFERROR(__xludf.DUMMYFUNCTION("""COMPUTED_VALUE"""),"10 Topaz")</f>
        <v>10 Topaz</v>
      </c>
      <c r="V1014" s="62">
        <f>IFERROR(__xludf.DUMMYFUNCTION("SPLIT(U1014,"" "")"),10.0)</f>
        <v>10</v>
      </c>
      <c r="W1014" s="62" t="str">
        <f>IFERROR(__xludf.DUMMYFUNCTION("""COMPUTED_VALUE"""),"Topaz")</f>
        <v>Topaz</v>
      </c>
      <c r="X1014" s="62"/>
      <c r="Y1014" s="62"/>
      <c r="Z1014" s="62"/>
      <c r="AA1014" s="62"/>
      <c r="AB1014" s="63"/>
      <c r="AC1014" s="62" t="str">
        <f t="shared" si="2"/>
        <v>Topaz</v>
      </c>
    </row>
    <row r="1015">
      <c r="U1015" s="62" t="str">
        <f>IFERROR(__xludf.DUMMYFUNCTION("""COMPUTED_VALUE"""),"1 Star Fragment")</f>
        <v>1 Star Fragment</v>
      </c>
      <c r="V1015" s="62">
        <f>IFERROR(__xludf.DUMMYFUNCTION("SPLIT(U1015,"" "")"),1.0)</f>
        <v>1</v>
      </c>
      <c r="W1015" s="62" t="str">
        <f>IFERROR(__xludf.DUMMYFUNCTION("""COMPUTED_VALUE"""),"Star")</f>
        <v>Star</v>
      </c>
      <c r="X1015" s="62" t="str">
        <f>IFERROR(__xludf.DUMMYFUNCTION("""COMPUTED_VALUE"""),"Fragment")</f>
        <v>Fragment</v>
      </c>
      <c r="Y1015" s="62"/>
      <c r="Z1015" s="62"/>
      <c r="AA1015" s="62"/>
      <c r="AB1015" s="63"/>
      <c r="AC1015" s="62" t="str">
        <f t="shared" si="2"/>
        <v>Star Fragment</v>
      </c>
    </row>
    <row r="1016">
      <c r="U1016" s="62" t="str">
        <f>IFERROR(__xludf.DUMMYFUNCTION("""COMPUTED_VALUE"""),"1 Sapphire")</f>
        <v>1 Sapphire</v>
      </c>
      <c r="V1016" s="62">
        <f>IFERROR(__xludf.DUMMYFUNCTION("SPLIT(U1016,"" "")"),1.0)</f>
        <v>1</v>
      </c>
      <c r="W1016" s="62" t="str">
        <f>IFERROR(__xludf.DUMMYFUNCTION("""COMPUTED_VALUE"""),"Sapphire")</f>
        <v>Sapphire</v>
      </c>
      <c r="X1016" s="62"/>
      <c r="Y1016" s="62"/>
      <c r="Z1016" s="62"/>
      <c r="AA1016" s="62"/>
      <c r="AB1016" s="63"/>
      <c r="AC1016" s="62" t="str">
        <f t="shared" si="2"/>
        <v>Sapphire</v>
      </c>
    </row>
    <row r="1017">
      <c r="U1017" s="62" t="str">
        <f>IFERROR(__xludf.DUMMYFUNCTION("""COMPUTED_VALUE"""),"1 Star Fragment")</f>
        <v>1 Star Fragment</v>
      </c>
      <c r="V1017" s="62">
        <f>IFERROR(__xludf.DUMMYFUNCTION("SPLIT(U1017,"" "")"),1.0)</f>
        <v>1</v>
      </c>
      <c r="W1017" s="62" t="str">
        <f>IFERROR(__xludf.DUMMYFUNCTION("""COMPUTED_VALUE"""),"Star")</f>
        <v>Star</v>
      </c>
      <c r="X1017" s="62" t="str">
        <f>IFERROR(__xludf.DUMMYFUNCTION("""COMPUTED_VALUE"""),"Fragment")</f>
        <v>Fragment</v>
      </c>
      <c r="Y1017" s="62"/>
      <c r="Z1017" s="62"/>
      <c r="AA1017" s="62"/>
      <c r="AB1017" s="63"/>
      <c r="AC1017" s="62" t="str">
        <f t="shared" si="2"/>
        <v>Star Fragment</v>
      </c>
    </row>
    <row r="1018">
      <c r="U1018" s="62" t="str">
        <f>IFERROR(__xludf.DUMMYFUNCTION("""COMPUTED_VALUE"""),"4 Sapphire")</f>
        <v>4 Sapphire</v>
      </c>
      <c r="V1018" s="62">
        <f>IFERROR(__xludf.DUMMYFUNCTION("SPLIT(U1018,"" "")"),4.0)</f>
        <v>4</v>
      </c>
      <c r="W1018" s="62" t="str">
        <f>IFERROR(__xludf.DUMMYFUNCTION("""COMPUTED_VALUE"""),"Sapphire")</f>
        <v>Sapphire</v>
      </c>
      <c r="X1018" s="62"/>
      <c r="Y1018" s="62"/>
      <c r="Z1018" s="62"/>
      <c r="AA1018" s="62"/>
      <c r="AB1018" s="63"/>
      <c r="AC1018" s="62" t="str">
        <f t="shared" si="2"/>
        <v>Sapphire</v>
      </c>
    </row>
    <row r="1019">
      <c r="U1019" s="62" t="str">
        <f>IFERROR(__xludf.DUMMYFUNCTION("""COMPUTED_VALUE"""),"1 Star Fragment")</f>
        <v>1 Star Fragment</v>
      </c>
      <c r="V1019" s="62">
        <f>IFERROR(__xludf.DUMMYFUNCTION("SPLIT(U1019,"" "")"),1.0)</f>
        <v>1</v>
      </c>
      <c r="W1019" s="62" t="str">
        <f>IFERROR(__xludf.DUMMYFUNCTION("""COMPUTED_VALUE"""),"Star")</f>
        <v>Star</v>
      </c>
      <c r="X1019" s="62" t="str">
        <f>IFERROR(__xludf.DUMMYFUNCTION("""COMPUTED_VALUE"""),"Fragment")</f>
        <v>Fragment</v>
      </c>
      <c r="Y1019" s="62"/>
      <c r="Z1019" s="62"/>
      <c r="AA1019" s="62"/>
      <c r="AB1019" s="63"/>
      <c r="AC1019" s="62" t="str">
        <f t="shared" si="2"/>
        <v>Star Fragment</v>
      </c>
    </row>
    <row r="1020">
      <c r="U1020" s="62" t="str">
        <f>IFERROR(__xludf.DUMMYFUNCTION("""COMPUTED_VALUE"""),"6 Sapphire")</f>
        <v>6 Sapphire</v>
      </c>
      <c r="V1020" s="62">
        <f>IFERROR(__xludf.DUMMYFUNCTION("SPLIT(U1020,"" "")"),6.0)</f>
        <v>6</v>
      </c>
      <c r="W1020" s="62" t="str">
        <f>IFERROR(__xludf.DUMMYFUNCTION("""COMPUTED_VALUE"""),"Sapphire")</f>
        <v>Sapphire</v>
      </c>
      <c r="X1020" s="62"/>
      <c r="Y1020" s="62"/>
      <c r="Z1020" s="62"/>
      <c r="AA1020" s="62"/>
      <c r="AB1020" s="63"/>
      <c r="AC1020" s="62" t="str">
        <f t="shared" si="2"/>
        <v>Sapphire</v>
      </c>
    </row>
    <row r="1021">
      <c r="U1021" s="62" t="str">
        <f>IFERROR(__xludf.DUMMYFUNCTION("""COMPUTED_VALUE"""),"1 Star Fragment")</f>
        <v>1 Star Fragment</v>
      </c>
      <c r="V1021" s="62">
        <f>IFERROR(__xludf.DUMMYFUNCTION("SPLIT(U1021,"" "")"),1.0)</f>
        <v>1</v>
      </c>
      <c r="W1021" s="62" t="str">
        <f>IFERROR(__xludf.DUMMYFUNCTION("""COMPUTED_VALUE"""),"Star")</f>
        <v>Star</v>
      </c>
      <c r="X1021" s="62" t="str">
        <f>IFERROR(__xludf.DUMMYFUNCTION("""COMPUTED_VALUE"""),"Fragment")</f>
        <v>Fragment</v>
      </c>
      <c r="Y1021" s="62"/>
      <c r="Z1021" s="62"/>
      <c r="AA1021" s="62"/>
      <c r="AB1021" s="63"/>
      <c r="AC1021" s="62" t="str">
        <f t="shared" si="2"/>
        <v>Star Fragment</v>
      </c>
    </row>
    <row r="1022">
      <c r="U1022" s="62" t="str">
        <f>IFERROR(__xludf.DUMMYFUNCTION("""COMPUTED_VALUE"""),"10 Sapphire")</f>
        <v>10 Sapphire</v>
      </c>
      <c r="V1022" s="62">
        <f>IFERROR(__xludf.DUMMYFUNCTION("SPLIT(U1022,"" "")"),10.0)</f>
        <v>10</v>
      </c>
      <c r="W1022" s="62" t="str">
        <f>IFERROR(__xludf.DUMMYFUNCTION("""COMPUTED_VALUE"""),"Sapphire")</f>
        <v>Sapphire</v>
      </c>
      <c r="X1022" s="62"/>
      <c r="Y1022" s="62"/>
      <c r="Z1022" s="62"/>
      <c r="AA1022" s="62"/>
      <c r="AB1022" s="63"/>
      <c r="AC1022" s="62" t="str">
        <f t="shared" si="2"/>
        <v>Sapphire</v>
      </c>
    </row>
    <row r="1023">
      <c r="U1023" s="62" t="str">
        <f>IFERROR(__xludf.DUMMYFUNCTION("""COMPUTED_VALUE"""),"1 Star Fragment")</f>
        <v>1 Star Fragment</v>
      </c>
      <c r="V1023" s="62">
        <f>IFERROR(__xludf.DUMMYFUNCTION("SPLIT(U1023,"" "")"),1.0)</f>
        <v>1</v>
      </c>
      <c r="W1023" s="62" t="str">
        <f>IFERROR(__xludf.DUMMYFUNCTION("""COMPUTED_VALUE"""),"Star")</f>
        <v>Star</v>
      </c>
      <c r="X1023" s="62" t="str">
        <f>IFERROR(__xludf.DUMMYFUNCTION("""COMPUTED_VALUE"""),"Fragment")</f>
        <v>Fragment</v>
      </c>
      <c r="Y1023" s="62"/>
      <c r="Z1023" s="62"/>
      <c r="AA1023" s="62"/>
      <c r="AB1023" s="63"/>
      <c r="AC1023" s="62" t="str">
        <f t="shared" si="2"/>
        <v>Star Fragment</v>
      </c>
    </row>
    <row r="1024">
      <c r="U1024" s="62" t="str">
        <f>IFERROR(__xludf.DUMMYFUNCTION("""COMPUTED_VALUE"""),"1 Sapphire")</f>
        <v>1 Sapphire</v>
      </c>
      <c r="V1024" s="62">
        <f>IFERROR(__xludf.DUMMYFUNCTION("SPLIT(U1024,"" "")"),1.0)</f>
        <v>1</v>
      </c>
      <c r="W1024" s="62" t="str">
        <f>IFERROR(__xludf.DUMMYFUNCTION("""COMPUTED_VALUE"""),"Sapphire")</f>
        <v>Sapphire</v>
      </c>
      <c r="X1024" s="62"/>
      <c r="Y1024" s="62"/>
      <c r="Z1024" s="62"/>
      <c r="AA1024" s="62"/>
      <c r="AB1024" s="63"/>
      <c r="AC1024" s="62" t="str">
        <f t="shared" si="2"/>
        <v>Sapphire</v>
      </c>
    </row>
    <row r="1025">
      <c r="U1025" s="62" t="str">
        <f>IFERROR(__xludf.DUMMYFUNCTION("""COMPUTED_VALUE"""),"1 Star Fragment")</f>
        <v>1 Star Fragment</v>
      </c>
      <c r="V1025" s="62">
        <f>IFERROR(__xludf.DUMMYFUNCTION("SPLIT(U1025,"" "")"),1.0)</f>
        <v>1</v>
      </c>
      <c r="W1025" s="62" t="str">
        <f>IFERROR(__xludf.DUMMYFUNCTION("""COMPUTED_VALUE"""),"Star")</f>
        <v>Star</v>
      </c>
      <c r="X1025" s="62" t="str">
        <f>IFERROR(__xludf.DUMMYFUNCTION("""COMPUTED_VALUE"""),"Fragment")</f>
        <v>Fragment</v>
      </c>
      <c r="Y1025" s="62"/>
      <c r="Z1025" s="62"/>
      <c r="AA1025" s="62"/>
      <c r="AB1025" s="63"/>
      <c r="AC1025" s="62" t="str">
        <f t="shared" si="2"/>
        <v>Star Fragment</v>
      </c>
    </row>
    <row r="1026">
      <c r="U1026" s="62" t="str">
        <f>IFERROR(__xludf.DUMMYFUNCTION("""COMPUTED_VALUE"""),"4 Sapphire")</f>
        <v>4 Sapphire</v>
      </c>
      <c r="V1026" s="62">
        <f>IFERROR(__xludf.DUMMYFUNCTION("SPLIT(U1026,"" "")"),4.0)</f>
        <v>4</v>
      </c>
      <c r="W1026" s="62" t="str">
        <f>IFERROR(__xludf.DUMMYFUNCTION("""COMPUTED_VALUE"""),"Sapphire")</f>
        <v>Sapphire</v>
      </c>
      <c r="X1026" s="62"/>
      <c r="Y1026" s="62"/>
      <c r="Z1026" s="62"/>
      <c r="AA1026" s="62"/>
      <c r="AB1026" s="63"/>
      <c r="AC1026" s="62" t="str">
        <f t="shared" si="2"/>
        <v>Sapphire</v>
      </c>
    </row>
    <row r="1027">
      <c r="U1027" s="62" t="str">
        <f>IFERROR(__xludf.DUMMYFUNCTION("""COMPUTED_VALUE"""),"1 Star Fragment")</f>
        <v>1 Star Fragment</v>
      </c>
      <c r="V1027" s="62">
        <f>IFERROR(__xludf.DUMMYFUNCTION("SPLIT(U1027,"" "")"),1.0)</f>
        <v>1</v>
      </c>
      <c r="W1027" s="62" t="str">
        <f>IFERROR(__xludf.DUMMYFUNCTION("""COMPUTED_VALUE"""),"Star")</f>
        <v>Star</v>
      </c>
      <c r="X1027" s="62" t="str">
        <f>IFERROR(__xludf.DUMMYFUNCTION("""COMPUTED_VALUE"""),"Fragment")</f>
        <v>Fragment</v>
      </c>
      <c r="Y1027" s="62"/>
      <c r="Z1027" s="62"/>
      <c r="AA1027" s="62"/>
      <c r="AB1027" s="63"/>
      <c r="AC1027" s="62" t="str">
        <f t="shared" si="2"/>
        <v>Star Fragment</v>
      </c>
    </row>
    <row r="1028">
      <c r="U1028" s="62" t="str">
        <f>IFERROR(__xludf.DUMMYFUNCTION("""COMPUTED_VALUE"""),"6 Sapphire")</f>
        <v>6 Sapphire</v>
      </c>
      <c r="V1028" s="62">
        <f>IFERROR(__xludf.DUMMYFUNCTION("SPLIT(U1028,"" "")"),6.0)</f>
        <v>6</v>
      </c>
      <c r="W1028" s="62" t="str">
        <f>IFERROR(__xludf.DUMMYFUNCTION("""COMPUTED_VALUE"""),"Sapphire")</f>
        <v>Sapphire</v>
      </c>
      <c r="X1028" s="62"/>
      <c r="Y1028" s="62"/>
      <c r="Z1028" s="62"/>
      <c r="AA1028" s="62"/>
      <c r="AB1028" s="63"/>
      <c r="AC1028" s="62" t="str">
        <f t="shared" si="2"/>
        <v>Sapphire</v>
      </c>
    </row>
    <row r="1029">
      <c r="U1029" s="62" t="str">
        <f>IFERROR(__xludf.DUMMYFUNCTION("""COMPUTED_VALUE"""),"1 Star Fragment")</f>
        <v>1 Star Fragment</v>
      </c>
      <c r="V1029" s="62">
        <f>IFERROR(__xludf.DUMMYFUNCTION("SPLIT(U1029,"" "")"),1.0)</f>
        <v>1</v>
      </c>
      <c r="W1029" s="62" t="str">
        <f>IFERROR(__xludf.DUMMYFUNCTION("""COMPUTED_VALUE"""),"Star")</f>
        <v>Star</v>
      </c>
      <c r="X1029" s="62" t="str">
        <f>IFERROR(__xludf.DUMMYFUNCTION("""COMPUTED_VALUE"""),"Fragment")</f>
        <v>Fragment</v>
      </c>
      <c r="Y1029" s="62"/>
      <c r="Z1029" s="62"/>
      <c r="AA1029" s="62"/>
      <c r="AB1029" s="63"/>
      <c r="AC1029" s="62" t="str">
        <f t="shared" si="2"/>
        <v>Star Fragment</v>
      </c>
    </row>
    <row r="1030">
      <c r="U1030" s="62" t="str">
        <f>IFERROR(__xludf.DUMMYFUNCTION("""COMPUTED_VALUE"""),"10 Sapphire")</f>
        <v>10 Sapphire</v>
      </c>
      <c r="V1030" s="62">
        <f>IFERROR(__xludf.DUMMYFUNCTION("SPLIT(U1030,"" "")"),10.0)</f>
        <v>10</v>
      </c>
      <c r="W1030" s="62" t="str">
        <f>IFERROR(__xludf.DUMMYFUNCTION("""COMPUTED_VALUE"""),"Sapphire")</f>
        <v>Sapphire</v>
      </c>
      <c r="X1030" s="62"/>
      <c r="Y1030" s="62"/>
      <c r="Z1030" s="62"/>
      <c r="AA1030" s="62"/>
      <c r="AB1030" s="63"/>
      <c r="AC1030" s="62" t="str">
        <f t="shared" si="2"/>
        <v>Sapphire</v>
      </c>
    </row>
    <row r="1031">
      <c r="U1031" s="62" t="str">
        <f>IFERROR(__xludf.DUMMYFUNCTION("""COMPUTED_VALUE"""),"1 Star Fragment")</f>
        <v>1 Star Fragment</v>
      </c>
      <c r="V1031" s="62">
        <f>IFERROR(__xludf.DUMMYFUNCTION("SPLIT(U1031,"" "")"),1.0)</f>
        <v>1</v>
      </c>
      <c r="W1031" s="62" t="str">
        <f>IFERROR(__xludf.DUMMYFUNCTION("""COMPUTED_VALUE"""),"Star")</f>
        <v>Star</v>
      </c>
      <c r="X1031" s="62" t="str">
        <f>IFERROR(__xludf.DUMMYFUNCTION("""COMPUTED_VALUE"""),"Fragment")</f>
        <v>Fragment</v>
      </c>
      <c r="Y1031" s="62"/>
      <c r="Z1031" s="62"/>
      <c r="AA1031" s="62"/>
      <c r="AB1031" s="63"/>
      <c r="AC1031" s="62" t="str">
        <f t="shared" si="2"/>
        <v>Star Fragment</v>
      </c>
    </row>
    <row r="1032">
      <c r="U1032" s="62" t="str">
        <f>IFERROR(__xludf.DUMMYFUNCTION("""COMPUTED_VALUE"""),"1 Sapphire")</f>
        <v>1 Sapphire</v>
      </c>
      <c r="V1032" s="62">
        <f>IFERROR(__xludf.DUMMYFUNCTION("SPLIT(U1032,"" "")"),1.0)</f>
        <v>1</v>
      </c>
      <c r="W1032" s="62" t="str">
        <f>IFERROR(__xludf.DUMMYFUNCTION("""COMPUTED_VALUE"""),"Sapphire")</f>
        <v>Sapphire</v>
      </c>
      <c r="X1032" s="62"/>
      <c r="Y1032" s="62"/>
      <c r="Z1032" s="62"/>
      <c r="AA1032" s="62"/>
      <c r="AB1032" s="63"/>
      <c r="AC1032" s="62" t="str">
        <f t="shared" si="2"/>
        <v>Sapphire</v>
      </c>
    </row>
    <row r="1033">
      <c r="U1033" s="62" t="str">
        <f>IFERROR(__xludf.DUMMYFUNCTION("""COMPUTED_VALUE"""),"1 Star Fragment")</f>
        <v>1 Star Fragment</v>
      </c>
      <c r="V1033" s="62">
        <f>IFERROR(__xludf.DUMMYFUNCTION("SPLIT(U1033,"" "")"),1.0)</f>
        <v>1</v>
      </c>
      <c r="W1033" s="62" t="str">
        <f>IFERROR(__xludf.DUMMYFUNCTION("""COMPUTED_VALUE"""),"Star")</f>
        <v>Star</v>
      </c>
      <c r="X1033" s="62" t="str">
        <f>IFERROR(__xludf.DUMMYFUNCTION("""COMPUTED_VALUE"""),"Fragment")</f>
        <v>Fragment</v>
      </c>
      <c r="Y1033" s="62"/>
      <c r="Z1033" s="62"/>
      <c r="AA1033" s="62"/>
      <c r="AB1033" s="63"/>
      <c r="AC1033" s="62" t="str">
        <f t="shared" si="2"/>
        <v>Star Fragment</v>
      </c>
    </row>
    <row r="1034">
      <c r="U1034" s="62" t="str">
        <f>IFERROR(__xludf.DUMMYFUNCTION("""COMPUTED_VALUE"""),"4 Sapphire")</f>
        <v>4 Sapphire</v>
      </c>
      <c r="V1034" s="62">
        <f>IFERROR(__xludf.DUMMYFUNCTION("SPLIT(U1034,"" "")"),4.0)</f>
        <v>4</v>
      </c>
      <c r="W1034" s="62" t="str">
        <f>IFERROR(__xludf.DUMMYFUNCTION("""COMPUTED_VALUE"""),"Sapphire")</f>
        <v>Sapphire</v>
      </c>
      <c r="X1034" s="62"/>
      <c r="Y1034" s="62"/>
      <c r="Z1034" s="62"/>
      <c r="AA1034" s="62"/>
      <c r="AB1034" s="63"/>
      <c r="AC1034" s="62" t="str">
        <f t="shared" si="2"/>
        <v>Sapphire</v>
      </c>
    </row>
    <row r="1035">
      <c r="U1035" s="62" t="str">
        <f>IFERROR(__xludf.DUMMYFUNCTION("""COMPUTED_VALUE"""),"1 Star Fragment")</f>
        <v>1 Star Fragment</v>
      </c>
      <c r="V1035" s="62">
        <f>IFERROR(__xludf.DUMMYFUNCTION("SPLIT(U1035,"" "")"),1.0)</f>
        <v>1</v>
      </c>
      <c r="W1035" s="62" t="str">
        <f>IFERROR(__xludf.DUMMYFUNCTION("""COMPUTED_VALUE"""),"Star")</f>
        <v>Star</v>
      </c>
      <c r="X1035" s="62" t="str">
        <f>IFERROR(__xludf.DUMMYFUNCTION("""COMPUTED_VALUE"""),"Fragment")</f>
        <v>Fragment</v>
      </c>
      <c r="Y1035" s="62"/>
      <c r="Z1035" s="62"/>
      <c r="AA1035" s="62"/>
      <c r="AB1035" s="63"/>
      <c r="AC1035" s="62" t="str">
        <f t="shared" si="2"/>
        <v>Star Fragment</v>
      </c>
    </row>
    <row r="1036">
      <c r="U1036" s="62" t="str">
        <f>IFERROR(__xludf.DUMMYFUNCTION("""COMPUTED_VALUE"""),"6 Sapphire")</f>
        <v>6 Sapphire</v>
      </c>
      <c r="V1036" s="62">
        <f>IFERROR(__xludf.DUMMYFUNCTION("SPLIT(U1036,"" "")"),6.0)</f>
        <v>6</v>
      </c>
      <c r="W1036" s="62" t="str">
        <f>IFERROR(__xludf.DUMMYFUNCTION("""COMPUTED_VALUE"""),"Sapphire")</f>
        <v>Sapphire</v>
      </c>
      <c r="X1036" s="62"/>
      <c r="Y1036" s="62"/>
      <c r="Z1036" s="62"/>
      <c r="AA1036" s="62"/>
      <c r="AB1036" s="63"/>
      <c r="AC1036" s="62" t="str">
        <f t="shared" si="2"/>
        <v>Sapphire</v>
      </c>
    </row>
    <row r="1037">
      <c r="U1037" s="62" t="str">
        <f>IFERROR(__xludf.DUMMYFUNCTION("""COMPUTED_VALUE"""),"1 Star Fragment")</f>
        <v>1 Star Fragment</v>
      </c>
      <c r="V1037" s="62">
        <f>IFERROR(__xludf.DUMMYFUNCTION("SPLIT(U1037,"" "")"),1.0)</f>
        <v>1</v>
      </c>
      <c r="W1037" s="62" t="str">
        <f>IFERROR(__xludf.DUMMYFUNCTION("""COMPUTED_VALUE"""),"Star")</f>
        <v>Star</v>
      </c>
      <c r="X1037" s="62" t="str">
        <f>IFERROR(__xludf.DUMMYFUNCTION("""COMPUTED_VALUE"""),"Fragment")</f>
        <v>Fragment</v>
      </c>
      <c r="Y1037" s="62"/>
      <c r="Z1037" s="62"/>
      <c r="AA1037" s="62"/>
      <c r="AB1037" s="63"/>
      <c r="AC1037" s="62" t="str">
        <f t="shared" si="2"/>
        <v>Star Fragment</v>
      </c>
    </row>
    <row r="1038">
      <c r="U1038" s="62" t="str">
        <f>IFERROR(__xludf.DUMMYFUNCTION("""COMPUTED_VALUE"""),"10 Sapphire")</f>
        <v>10 Sapphire</v>
      </c>
      <c r="V1038" s="62">
        <f>IFERROR(__xludf.DUMMYFUNCTION("SPLIT(U1038,"" "")"),10.0)</f>
        <v>10</v>
      </c>
      <c r="W1038" s="62" t="str">
        <f>IFERROR(__xludf.DUMMYFUNCTION("""COMPUTED_VALUE"""),"Sapphire")</f>
        <v>Sapphire</v>
      </c>
      <c r="X1038" s="62"/>
      <c r="Y1038" s="62"/>
      <c r="Z1038" s="62"/>
      <c r="AA1038" s="62"/>
      <c r="AB1038" s="63"/>
      <c r="AC1038" s="62" t="str">
        <f t="shared" si="2"/>
        <v>Sapphire</v>
      </c>
    </row>
    <row r="1039">
      <c r="U1039" s="62" t="str">
        <f>IFERROR(__xludf.DUMMYFUNCTION("""COMPUTED_VALUE"""),"1 Star Fragment")</f>
        <v>1 Star Fragment</v>
      </c>
      <c r="V1039" s="62">
        <f>IFERROR(__xludf.DUMMYFUNCTION("SPLIT(U1039,"" "")"),1.0)</f>
        <v>1</v>
      </c>
      <c r="W1039" s="62" t="str">
        <f>IFERROR(__xludf.DUMMYFUNCTION("""COMPUTED_VALUE"""),"Star")</f>
        <v>Star</v>
      </c>
      <c r="X1039" s="62" t="str">
        <f>IFERROR(__xludf.DUMMYFUNCTION("""COMPUTED_VALUE"""),"Fragment")</f>
        <v>Fragment</v>
      </c>
      <c r="Y1039" s="62"/>
      <c r="Z1039" s="62"/>
      <c r="AA1039" s="62"/>
      <c r="AB1039" s="63"/>
      <c r="AC1039" s="62" t="str">
        <f t="shared" si="2"/>
        <v>Star Fragment</v>
      </c>
    </row>
    <row r="1040">
      <c r="U1040" s="62" t="str">
        <f>IFERROR(__xludf.DUMMYFUNCTION("""COMPUTED_VALUE"""),"9 Silver Bokoblin Horn")</f>
        <v>9 Silver Bokoblin Horn</v>
      </c>
      <c r="V1040" s="62">
        <f>IFERROR(__xludf.DUMMYFUNCTION("SPLIT(U1040,"" "")"),9.0)</f>
        <v>9</v>
      </c>
      <c r="W1040" s="62" t="str">
        <f>IFERROR(__xludf.DUMMYFUNCTION("""COMPUTED_VALUE"""),"Silver")</f>
        <v>Silver</v>
      </c>
      <c r="X1040" s="62" t="str">
        <f>IFERROR(__xludf.DUMMYFUNCTION("""COMPUTED_VALUE"""),"Bokoblin")</f>
        <v>Bokoblin</v>
      </c>
      <c r="Y1040" s="62" t="str">
        <f>IFERROR(__xludf.DUMMYFUNCTION("""COMPUTED_VALUE"""),"Horn")</f>
        <v>Horn</v>
      </c>
      <c r="Z1040" s="62"/>
      <c r="AA1040" s="62"/>
      <c r="AB1040" s="63"/>
      <c r="AC1040" s="62" t="str">
        <f t="shared" si="2"/>
        <v>Silver Bokoblin Horn</v>
      </c>
    </row>
    <row r="1041">
      <c r="U1041" s="62" t="str">
        <f>IFERROR(__xludf.DUMMYFUNCTION("""COMPUTED_VALUE"""),"9 Hinox Guts")</f>
        <v>9 Hinox Guts</v>
      </c>
      <c r="V1041" s="62">
        <f>IFERROR(__xludf.DUMMYFUNCTION("SPLIT(U1041,"" "")"),9.0)</f>
        <v>9</v>
      </c>
      <c r="W1041" s="62" t="str">
        <f>IFERROR(__xludf.DUMMYFUNCTION("""COMPUTED_VALUE"""),"Hinox")</f>
        <v>Hinox</v>
      </c>
      <c r="X1041" s="62" t="str">
        <f>IFERROR(__xludf.DUMMYFUNCTION("""COMPUTED_VALUE"""),"Guts")</f>
        <v>Guts</v>
      </c>
      <c r="Y1041" s="62"/>
      <c r="Z1041" s="62"/>
      <c r="AA1041" s="62"/>
      <c r="AB1041" s="63"/>
      <c r="AC1041" s="62" t="str">
        <f t="shared" si="2"/>
        <v>Hinox Guts</v>
      </c>
    </row>
    <row r="1042">
      <c r="U1042" s="62" t="str">
        <f>IFERROR(__xludf.DUMMYFUNCTION("""COMPUTED_VALUE"""),"15 Zonaite")</f>
        <v>15 Zonaite</v>
      </c>
      <c r="V1042" s="62">
        <f>IFERROR(__xludf.DUMMYFUNCTION("SPLIT(U1042,"" "")"),15.0)</f>
        <v>15</v>
      </c>
      <c r="W1042" s="62" t="str">
        <f>IFERROR(__xludf.DUMMYFUNCTION("""COMPUTED_VALUE"""),"Zonaite")</f>
        <v>Zonaite</v>
      </c>
      <c r="X1042" s="62"/>
      <c r="Y1042" s="62"/>
      <c r="Z1042" s="62"/>
      <c r="AA1042" s="62"/>
      <c r="AB1042" s="63"/>
      <c r="AC1042" s="62" t="str">
        <f t="shared" si="2"/>
        <v>Zonaite</v>
      </c>
    </row>
    <row r="1043">
      <c r="U1043" s="62" t="str">
        <f>IFERROR(__xludf.DUMMYFUNCTION("""COMPUTED_VALUE"""),"30 Rupee")</f>
        <v>30 Rupee</v>
      </c>
      <c r="V1043" s="62">
        <f>IFERROR(__xludf.DUMMYFUNCTION("SPLIT(U1043,"" "")"),30.0)</f>
        <v>30</v>
      </c>
      <c r="W1043" s="62" t="str">
        <f>IFERROR(__xludf.DUMMYFUNCTION("""COMPUTED_VALUE"""),"Rupee")</f>
        <v>Rupee</v>
      </c>
      <c r="X1043" s="62"/>
      <c r="Y1043" s="62"/>
      <c r="Z1043" s="62"/>
      <c r="AA1043" s="62"/>
      <c r="AB1043" s="63"/>
      <c r="AC1043" s="62" t="str">
        <f t="shared" si="2"/>
        <v>Rupee</v>
      </c>
    </row>
    <row r="1044">
      <c r="U1044" s="62" t="str">
        <f>IFERROR(__xludf.DUMMYFUNCTION("""COMPUTED_VALUE"""),"9 Silver Moblin Horn")</f>
        <v>9 Silver Moblin Horn</v>
      </c>
      <c r="V1044" s="62">
        <f>IFERROR(__xludf.DUMMYFUNCTION("SPLIT(U1044,"" "")"),9.0)</f>
        <v>9</v>
      </c>
      <c r="W1044" s="62" t="str">
        <f>IFERROR(__xludf.DUMMYFUNCTION("""COMPUTED_VALUE"""),"Silver")</f>
        <v>Silver</v>
      </c>
      <c r="X1044" s="62" t="str">
        <f>IFERROR(__xludf.DUMMYFUNCTION("""COMPUTED_VALUE"""),"Moblin")</f>
        <v>Moblin</v>
      </c>
      <c r="Y1044" s="62" t="str">
        <f>IFERROR(__xludf.DUMMYFUNCTION("""COMPUTED_VALUE"""),"Horn")</f>
        <v>Horn</v>
      </c>
      <c r="Z1044" s="62"/>
      <c r="AA1044" s="62"/>
      <c r="AB1044" s="63"/>
      <c r="AC1044" s="62" t="str">
        <f t="shared" si="2"/>
        <v>Silver Moblin Horn</v>
      </c>
    </row>
    <row r="1045">
      <c r="U1045" s="62" t="str">
        <f>IFERROR(__xludf.DUMMYFUNCTION("""COMPUTED_VALUE"""),"9 Frox Guts")</f>
        <v>9 Frox Guts</v>
      </c>
      <c r="V1045" s="62">
        <f>IFERROR(__xludf.DUMMYFUNCTION("SPLIT(U1045,"" "")"),9.0)</f>
        <v>9</v>
      </c>
      <c r="W1045" s="62" t="str">
        <f>IFERROR(__xludf.DUMMYFUNCTION("""COMPUTED_VALUE"""),"Frox")</f>
        <v>Frox</v>
      </c>
      <c r="X1045" s="62" t="str">
        <f>IFERROR(__xludf.DUMMYFUNCTION("""COMPUTED_VALUE"""),"Guts")</f>
        <v>Guts</v>
      </c>
      <c r="Y1045" s="62"/>
      <c r="Z1045" s="62"/>
      <c r="AA1045" s="62"/>
      <c r="AB1045" s="63"/>
      <c r="AC1045" s="62" t="str">
        <f t="shared" si="2"/>
        <v>Frox Guts</v>
      </c>
    </row>
    <row r="1046">
      <c r="U1046" s="62" t="str">
        <f>IFERROR(__xludf.DUMMYFUNCTION("""COMPUTED_VALUE"""),"10 Large Zonaite")</f>
        <v>10 Large Zonaite</v>
      </c>
      <c r="V1046" s="62">
        <f>IFERROR(__xludf.DUMMYFUNCTION("SPLIT(U1046,"" "")"),10.0)</f>
        <v>10</v>
      </c>
      <c r="W1046" s="62" t="str">
        <f>IFERROR(__xludf.DUMMYFUNCTION("""COMPUTED_VALUE"""),"Large")</f>
        <v>Large</v>
      </c>
      <c r="X1046" s="62" t="str">
        <f>IFERROR(__xludf.DUMMYFUNCTION("""COMPUTED_VALUE"""),"Zonaite")</f>
        <v>Zonaite</v>
      </c>
      <c r="Y1046" s="62"/>
      <c r="Z1046" s="62"/>
      <c r="AA1046" s="62"/>
      <c r="AB1046" s="63"/>
      <c r="AC1046" s="62" t="str">
        <f t="shared" si="2"/>
        <v>Large Zonaite</v>
      </c>
    </row>
    <row r="1047">
      <c r="U1047" s="62" t="str">
        <f>IFERROR(__xludf.DUMMYFUNCTION("""COMPUTED_VALUE"""),"150 Rupee")</f>
        <v>150 Rupee</v>
      </c>
      <c r="V1047" s="62">
        <f>IFERROR(__xludf.DUMMYFUNCTION("SPLIT(U1047,"" "")"),150.0)</f>
        <v>150</v>
      </c>
      <c r="W1047" s="62" t="str">
        <f>IFERROR(__xludf.DUMMYFUNCTION("""COMPUTED_VALUE"""),"Rupee")</f>
        <v>Rupee</v>
      </c>
      <c r="X1047" s="62"/>
      <c r="Y1047" s="62"/>
      <c r="Z1047" s="62"/>
      <c r="AA1047" s="62"/>
      <c r="AB1047" s="63"/>
      <c r="AC1047" s="62" t="str">
        <f t="shared" si="2"/>
        <v>Rupee</v>
      </c>
    </row>
    <row r="1048">
      <c r="U1048" s="62" t="str">
        <f>IFERROR(__xludf.DUMMYFUNCTION("""COMPUTED_VALUE"""),"9 Silver Lizalfos Horn")</f>
        <v>9 Silver Lizalfos Horn</v>
      </c>
      <c r="V1048" s="62">
        <f>IFERROR(__xludf.DUMMYFUNCTION("SPLIT(U1048,"" "")"),9.0)</f>
        <v>9</v>
      </c>
      <c r="W1048" s="62" t="str">
        <f>IFERROR(__xludf.DUMMYFUNCTION("""COMPUTED_VALUE"""),"Silver")</f>
        <v>Silver</v>
      </c>
      <c r="X1048" s="62" t="str">
        <f>IFERROR(__xludf.DUMMYFUNCTION("""COMPUTED_VALUE"""),"Lizalfos")</f>
        <v>Lizalfos</v>
      </c>
      <c r="Y1048" s="62" t="str">
        <f>IFERROR(__xludf.DUMMYFUNCTION("""COMPUTED_VALUE"""),"Horn")</f>
        <v>Horn</v>
      </c>
      <c r="Z1048" s="62"/>
      <c r="AA1048" s="62"/>
      <c r="AB1048" s="63"/>
      <c r="AC1048" s="62" t="str">
        <f t="shared" si="2"/>
        <v>Silver Lizalfos Horn</v>
      </c>
    </row>
    <row r="1049">
      <c r="U1049" s="62" t="str">
        <f>IFERROR(__xludf.DUMMYFUNCTION("""COMPUTED_VALUE"""),"9 Molduga Guts")</f>
        <v>9 Molduga Guts</v>
      </c>
      <c r="V1049" s="62">
        <f>IFERROR(__xludf.DUMMYFUNCTION("SPLIT(U1049,"" "")"),9.0)</f>
        <v>9</v>
      </c>
      <c r="W1049" s="62" t="str">
        <f>IFERROR(__xludf.DUMMYFUNCTION("""COMPUTED_VALUE"""),"Molduga")</f>
        <v>Molduga</v>
      </c>
      <c r="X1049" s="62" t="str">
        <f>IFERROR(__xludf.DUMMYFUNCTION("""COMPUTED_VALUE"""),"Guts")</f>
        <v>Guts</v>
      </c>
      <c r="Y1049" s="62"/>
      <c r="Z1049" s="62"/>
      <c r="AA1049" s="62"/>
      <c r="AB1049" s="63"/>
      <c r="AC1049" s="62" t="str">
        <f t="shared" si="2"/>
        <v>Molduga Guts</v>
      </c>
    </row>
    <row r="1050">
      <c r="U1050" s="62" t="str">
        <f>IFERROR(__xludf.DUMMYFUNCTION("""COMPUTED_VALUE"""),"15 Large Zonaite")</f>
        <v>15 Large Zonaite</v>
      </c>
      <c r="V1050" s="62">
        <f>IFERROR(__xludf.DUMMYFUNCTION("SPLIT(U1050,"" "")"),15.0)</f>
        <v>15</v>
      </c>
      <c r="W1050" s="62" t="str">
        <f>IFERROR(__xludf.DUMMYFUNCTION("""COMPUTED_VALUE"""),"Large")</f>
        <v>Large</v>
      </c>
      <c r="X1050" s="62" t="str">
        <f>IFERROR(__xludf.DUMMYFUNCTION("""COMPUTED_VALUE"""),"Zonaite")</f>
        <v>Zonaite</v>
      </c>
      <c r="Y1050" s="62"/>
      <c r="Z1050" s="62"/>
      <c r="AA1050" s="62"/>
      <c r="AB1050" s="63"/>
      <c r="AC1050" s="62" t="str">
        <f t="shared" si="2"/>
        <v>Large Zonaite</v>
      </c>
    </row>
    <row r="1051">
      <c r="U1051" s="62" t="str">
        <f>IFERROR(__xludf.DUMMYFUNCTION("""COMPUTED_VALUE"""),"600 Rupee")</f>
        <v>600 Rupee</v>
      </c>
      <c r="V1051" s="62">
        <f>IFERROR(__xludf.DUMMYFUNCTION("SPLIT(U1051,"" "")"),600.0)</f>
        <v>600</v>
      </c>
      <c r="W1051" s="62" t="str">
        <f>IFERROR(__xludf.DUMMYFUNCTION("""COMPUTED_VALUE"""),"Rupee")</f>
        <v>Rupee</v>
      </c>
      <c r="X1051" s="62"/>
      <c r="Y1051" s="62"/>
      <c r="Z1051" s="62"/>
      <c r="AA1051" s="62"/>
      <c r="AB1051" s="63"/>
      <c r="AC1051" s="62" t="str">
        <f t="shared" si="2"/>
        <v>Rupee</v>
      </c>
    </row>
    <row r="1052">
      <c r="U1052" s="62" t="str">
        <f>IFERROR(__xludf.DUMMYFUNCTION("""COMPUTED_VALUE"""),"9 Silver Lynel Saber Horn")</f>
        <v>9 Silver Lynel Saber Horn</v>
      </c>
      <c r="V1052" s="62">
        <f>IFERROR(__xludf.DUMMYFUNCTION("SPLIT(U1052,"" "")"),9.0)</f>
        <v>9</v>
      </c>
      <c r="W1052" s="62" t="str">
        <f>IFERROR(__xludf.DUMMYFUNCTION("""COMPUTED_VALUE"""),"Silver")</f>
        <v>Silver</v>
      </c>
      <c r="X1052" s="62" t="str">
        <f>IFERROR(__xludf.DUMMYFUNCTION("""COMPUTED_VALUE"""),"Lynel")</f>
        <v>Lynel</v>
      </c>
      <c r="Y1052" s="62" t="str">
        <f>IFERROR(__xludf.DUMMYFUNCTION("""COMPUTED_VALUE"""),"Saber")</f>
        <v>Saber</v>
      </c>
      <c r="Z1052" s="62" t="str">
        <f>IFERROR(__xludf.DUMMYFUNCTION("""COMPUTED_VALUE"""),"Horn")</f>
        <v>Horn</v>
      </c>
      <c r="AA1052" s="62"/>
      <c r="AB1052" s="63"/>
      <c r="AC1052" s="62" t="str">
        <f t="shared" si="2"/>
        <v>Silver Lynel Saber Horn</v>
      </c>
    </row>
    <row r="1053">
      <c r="U1053" s="62" t="str">
        <f>IFERROR(__xludf.DUMMYFUNCTION("""COMPUTED_VALUE"""),"9 Silver Lynel Mace Horn")</f>
        <v>9 Silver Lynel Mace Horn</v>
      </c>
      <c r="V1053" s="62">
        <f>IFERROR(__xludf.DUMMYFUNCTION("SPLIT(U1053,"" "")"),9.0)</f>
        <v>9</v>
      </c>
      <c r="W1053" s="62" t="str">
        <f>IFERROR(__xludf.DUMMYFUNCTION("""COMPUTED_VALUE"""),"Silver")</f>
        <v>Silver</v>
      </c>
      <c r="X1053" s="62" t="str">
        <f>IFERROR(__xludf.DUMMYFUNCTION("""COMPUTED_VALUE"""),"Lynel")</f>
        <v>Lynel</v>
      </c>
      <c r="Y1053" s="62" t="str">
        <f>IFERROR(__xludf.DUMMYFUNCTION("""COMPUTED_VALUE"""),"Mace")</f>
        <v>Mace</v>
      </c>
      <c r="Z1053" s="62" t="str">
        <f>IFERROR(__xludf.DUMMYFUNCTION("""COMPUTED_VALUE"""),"Horn")</f>
        <v>Horn</v>
      </c>
      <c r="AA1053" s="62"/>
      <c r="AB1053" s="63"/>
      <c r="AC1053" s="62" t="str">
        <f t="shared" si="2"/>
        <v>Silver Lynel Mace Horn</v>
      </c>
    </row>
    <row r="1054">
      <c r="U1054" s="62" t="str">
        <f>IFERROR(__xludf.DUMMYFUNCTION("""COMPUTED_VALUE"""),"9 Gleeok Guts")</f>
        <v>9 Gleeok Guts</v>
      </c>
      <c r="V1054" s="62">
        <f>IFERROR(__xludf.DUMMYFUNCTION("SPLIT(U1054,"" "")"),9.0)</f>
        <v>9</v>
      </c>
      <c r="W1054" s="62" t="str">
        <f>IFERROR(__xludf.DUMMYFUNCTION("""COMPUTED_VALUE"""),"Gleeok")</f>
        <v>Gleeok</v>
      </c>
      <c r="X1054" s="62" t="str">
        <f>IFERROR(__xludf.DUMMYFUNCTION("""COMPUTED_VALUE"""),"Guts")</f>
        <v>Guts</v>
      </c>
      <c r="Y1054" s="62"/>
      <c r="Z1054" s="62"/>
      <c r="AA1054" s="62"/>
      <c r="AB1054" s="63"/>
      <c r="AC1054" s="62" t="str">
        <f t="shared" si="2"/>
        <v>Gleeok Guts</v>
      </c>
    </row>
    <row r="1055">
      <c r="U1055" s="62" t="str">
        <f>IFERROR(__xludf.DUMMYFUNCTION("""COMPUTED_VALUE"""),"1500 Rupee")</f>
        <v>1500 Rupee</v>
      </c>
      <c r="V1055" s="62">
        <f>IFERROR(__xludf.DUMMYFUNCTION("SPLIT(U1055,"" "")"),1500.0)</f>
        <v>1500</v>
      </c>
      <c r="W1055" s="62" t="str">
        <f>IFERROR(__xludf.DUMMYFUNCTION("""COMPUTED_VALUE"""),"Rupee")</f>
        <v>Rupee</v>
      </c>
      <c r="X1055" s="62"/>
      <c r="Y1055" s="62"/>
      <c r="Z1055" s="62"/>
      <c r="AA1055" s="62"/>
      <c r="AB1055" s="63"/>
      <c r="AC1055" s="62" t="str">
        <f t="shared" si="2"/>
        <v>Rupee</v>
      </c>
    </row>
    <row r="1056">
      <c r="U1056" s="62"/>
      <c r="V1056" s="62" t="str">
        <f>IFERROR(__xludf.DUMMYFUNCTION("SPLIT(U1056,"" "")"),"#VALUE!")</f>
        <v>#VALUE!</v>
      </c>
      <c r="W1056" s="62"/>
      <c r="X1056" s="62"/>
      <c r="Y1056" s="62"/>
      <c r="Z1056" s="62"/>
      <c r="AA1056" s="62"/>
      <c r="AB1056" s="63"/>
      <c r="AC1056" s="62" t="str">
        <f t="shared" si="2"/>
        <v/>
      </c>
    </row>
    <row r="1057">
      <c r="U1057" s="62"/>
      <c r="V1057" s="62" t="str">
        <f>IFERROR(__xludf.DUMMYFUNCTION("SPLIT(U1057,"" "")"),"#VALUE!")</f>
        <v>#VALUE!</v>
      </c>
      <c r="W1057" s="62"/>
      <c r="X1057" s="62"/>
      <c r="Y1057" s="62"/>
      <c r="Z1057" s="62"/>
      <c r="AA1057" s="62"/>
      <c r="AB1057" s="63"/>
      <c r="AC1057" s="62" t="str">
        <f t="shared" si="2"/>
        <v/>
      </c>
    </row>
    <row r="1058">
      <c r="U1058" s="62"/>
      <c r="V1058" s="62" t="str">
        <f>IFERROR(__xludf.DUMMYFUNCTION("SPLIT(U1058,"" "")"),"#VALUE!")</f>
        <v>#VALUE!</v>
      </c>
      <c r="W1058" s="62"/>
      <c r="X1058" s="62"/>
      <c r="Y1058" s="62"/>
      <c r="Z1058" s="62"/>
      <c r="AA1058" s="62"/>
      <c r="AB1058" s="63"/>
      <c r="AC1058" s="62" t="str">
        <f t="shared" si="2"/>
        <v/>
      </c>
    </row>
    <row r="1059">
      <c r="U1059" s="62"/>
      <c r="V1059" s="62" t="str">
        <f>IFERROR(__xludf.DUMMYFUNCTION("SPLIT(U1059,"" "")"),"#VALUE!")</f>
        <v>#VALUE!</v>
      </c>
      <c r="W1059" s="62"/>
      <c r="X1059" s="62"/>
      <c r="Y1059" s="62"/>
      <c r="Z1059" s="62"/>
      <c r="AA1059" s="62"/>
      <c r="AB1059" s="63"/>
      <c r="AC1059" s="62" t="str">
        <f t="shared" si="2"/>
        <v/>
      </c>
    </row>
    <row r="1060">
      <c r="U1060" s="62"/>
      <c r="V1060" s="62" t="str">
        <f>IFERROR(__xludf.DUMMYFUNCTION("SPLIT(U1060,"" "")"),"#VALUE!")</f>
        <v>#VALUE!</v>
      </c>
      <c r="W1060" s="62"/>
      <c r="X1060" s="62"/>
      <c r="Y1060" s="62"/>
      <c r="Z1060" s="62"/>
      <c r="AA1060" s="62"/>
      <c r="AB1060" s="63"/>
      <c r="AC1060" s="62" t="str">
        <f t="shared" si="2"/>
        <v/>
      </c>
    </row>
    <row r="1061">
      <c r="U1061" s="62"/>
      <c r="V1061" s="62" t="str">
        <f>IFERROR(__xludf.DUMMYFUNCTION("SPLIT(U1061,"" "")"),"#VALUE!")</f>
        <v>#VALUE!</v>
      </c>
      <c r="W1061" s="62"/>
      <c r="X1061" s="62"/>
      <c r="Y1061" s="62"/>
      <c r="Z1061" s="62"/>
      <c r="AA1061" s="62"/>
      <c r="AB1061" s="63"/>
      <c r="AC1061" s="62" t="str">
        <f t="shared" si="2"/>
        <v/>
      </c>
    </row>
    <row r="1062">
      <c r="U1062" s="62"/>
      <c r="V1062" s="62" t="str">
        <f>IFERROR(__xludf.DUMMYFUNCTION("SPLIT(U1062,"" "")"),"#VALUE!")</f>
        <v>#VALUE!</v>
      </c>
      <c r="W1062" s="62"/>
      <c r="X1062" s="62"/>
      <c r="Y1062" s="62"/>
      <c r="Z1062" s="62"/>
      <c r="AA1062" s="62"/>
      <c r="AB1062" s="63"/>
      <c r="AC1062" s="62" t="str">
        <f t="shared" si="2"/>
        <v/>
      </c>
    </row>
    <row r="1063">
      <c r="U1063" s="62"/>
      <c r="V1063" s="62" t="str">
        <f>IFERROR(__xludf.DUMMYFUNCTION("SPLIT(U1063,"" "")"),"#VALUE!")</f>
        <v>#VALUE!</v>
      </c>
      <c r="W1063" s="62"/>
      <c r="X1063" s="62"/>
      <c r="Y1063" s="62"/>
      <c r="Z1063" s="62"/>
      <c r="AA1063" s="62"/>
      <c r="AB1063" s="63"/>
      <c r="AC1063" s="62" t="str">
        <f t="shared" si="2"/>
        <v/>
      </c>
    </row>
    <row r="1064">
      <c r="U1064" s="62"/>
      <c r="V1064" s="62" t="str">
        <f>IFERROR(__xludf.DUMMYFUNCTION("SPLIT(U1064,"" "")"),"#VALUE!")</f>
        <v>#VALUE!</v>
      </c>
      <c r="W1064" s="62"/>
      <c r="X1064" s="62"/>
      <c r="Y1064" s="62"/>
      <c r="Z1064" s="62"/>
      <c r="AA1064" s="62"/>
      <c r="AB1064" s="63"/>
      <c r="AC1064" s="62" t="str">
        <f t="shared" si="2"/>
        <v/>
      </c>
    </row>
    <row r="1065">
      <c r="U1065" s="62"/>
      <c r="V1065" s="62" t="str">
        <f>IFERROR(__xludf.DUMMYFUNCTION("SPLIT(U1065,"" "")"),"#VALUE!")</f>
        <v>#VALUE!</v>
      </c>
      <c r="W1065" s="62"/>
      <c r="X1065" s="62"/>
      <c r="Y1065" s="62"/>
      <c r="Z1065" s="62"/>
      <c r="AA1065" s="62"/>
      <c r="AB1065" s="63"/>
      <c r="AC1065" s="62" t="str">
        <f t="shared" si="2"/>
        <v/>
      </c>
    </row>
    <row r="1066">
      <c r="U1066" s="62"/>
      <c r="V1066" s="62" t="str">
        <f>IFERROR(__xludf.DUMMYFUNCTION("SPLIT(U1066,"" "")"),"#VALUE!")</f>
        <v>#VALUE!</v>
      </c>
      <c r="W1066" s="62"/>
      <c r="X1066" s="62"/>
      <c r="Y1066" s="62"/>
      <c r="Z1066" s="62"/>
      <c r="AA1066" s="62"/>
      <c r="AB1066" s="63"/>
      <c r="AC1066" s="62" t="str">
        <f t="shared" si="2"/>
        <v/>
      </c>
    </row>
    <row r="1067">
      <c r="U1067" s="62"/>
      <c r="V1067" s="62" t="str">
        <f>IFERROR(__xludf.DUMMYFUNCTION("SPLIT(U1067,"" "")"),"#VALUE!")</f>
        <v>#VALUE!</v>
      </c>
      <c r="W1067" s="62"/>
      <c r="X1067" s="62"/>
      <c r="Y1067" s="62"/>
      <c r="Z1067" s="62"/>
      <c r="AA1067" s="62"/>
      <c r="AB1067" s="63"/>
      <c r="AC1067" s="62" t="str">
        <f t="shared" si="2"/>
        <v/>
      </c>
    </row>
    <row r="1068">
      <c r="U1068" s="62"/>
      <c r="V1068" s="62" t="str">
        <f>IFERROR(__xludf.DUMMYFUNCTION("SPLIT(U1068,"" "")"),"#VALUE!")</f>
        <v>#VALUE!</v>
      </c>
      <c r="W1068" s="62"/>
      <c r="X1068" s="62"/>
      <c r="Y1068" s="62"/>
      <c r="Z1068" s="62"/>
      <c r="AA1068" s="62"/>
      <c r="AB1068" s="63"/>
      <c r="AC1068" s="62" t="str">
        <f t="shared" si="2"/>
        <v/>
      </c>
    </row>
    <row r="1069">
      <c r="U1069" s="62"/>
      <c r="V1069" s="62" t="str">
        <f>IFERROR(__xludf.DUMMYFUNCTION("SPLIT(U1069,"" "")"),"#VALUE!")</f>
        <v>#VALUE!</v>
      </c>
      <c r="W1069" s="62"/>
      <c r="X1069" s="62"/>
      <c r="Y1069" s="62"/>
      <c r="Z1069" s="62"/>
      <c r="AA1069" s="62"/>
      <c r="AB1069" s="63"/>
      <c r="AC1069" s="62" t="str">
        <f t="shared" si="2"/>
        <v/>
      </c>
    </row>
    <row r="1070">
      <c r="U1070" s="62"/>
      <c r="V1070" s="62" t="str">
        <f>IFERROR(__xludf.DUMMYFUNCTION("SPLIT(U1070,"" "")"),"#VALUE!")</f>
        <v>#VALUE!</v>
      </c>
      <c r="W1070" s="62"/>
      <c r="X1070" s="62"/>
      <c r="Y1070" s="62"/>
      <c r="Z1070" s="62"/>
      <c r="AA1070" s="62"/>
      <c r="AB1070" s="63"/>
      <c r="AC1070" s="62" t="str">
        <f t="shared" si="2"/>
        <v/>
      </c>
    </row>
    <row r="1071">
      <c r="U1071" s="62"/>
      <c r="V1071" s="62" t="str">
        <f>IFERROR(__xludf.DUMMYFUNCTION("SPLIT(U1071,"" "")"),"#VALUE!")</f>
        <v>#VALUE!</v>
      </c>
      <c r="W1071" s="62"/>
      <c r="X1071" s="62"/>
      <c r="Y1071" s="62"/>
      <c r="Z1071" s="62"/>
      <c r="AA1071" s="62"/>
      <c r="AB1071" s="63"/>
      <c r="AC1071" s="62" t="str">
        <f t="shared" si="2"/>
        <v/>
      </c>
    </row>
    <row r="1072">
      <c r="U1072" s="62"/>
      <c r="V1072" s="62" t="str">
        <f>IFERROR(__xludf.DUMMYFUNCTION("SPLIT(U1072,"" "")"),"#VALUE!")</f>
        <v>#VALUE!</v>
      </c>
      <c r="W1072" s="62"/>
      <c r="X1072" s="62"/>
      <c r="Y1072" s="62"/>
      <c r="Z1072" s="62"/>
      <c r="AA1072" s="62"/>
      <c r="AB1072" s="63"/>
      <c r="AC1072" s="62" t="str">
        <f t="shared" si="2"/>
        <v/>
      </c>
    </row>
    <row r="1073">
      <c r="U1073" s="62"/>
      <c r="V1073" s="62" t="str">
        <f>IFERROR(__xludf.DUMMYFUNCTION("SPLIT(U1073,"" "")"),"#VALUE!")</f>
        <v>#VALUE!</v>
      </c>
      <c r="W1073" s="62"/>
      <c r="X1073" s="62"/>
      <c r="Y1073" s="62"/>
      <c r="Z1073" s="62"/>
      <c r="AA1073" s="62"/>
      <c r="AB1073" s="63"/>
      <c r="AC1073" s="62" t="str">
        <f t="shared" si="2"/>
        <v/>
      </c>
    </row>
    <row r="1074">
      <c r="U1074" s="62"/>
      <c r="V1074" s="62" t="str">
        <f>IFERROR(__xludf.DUMMYFUNCTION("SPLIT(U1074,"" "")"),"#VALUE!")</f>
        <v>#VALUE!</v>
      </c>
      <c r="W1074" s="62"/>
      <c r="X1074" s="62"/>
      <c r="Y1074" s="62"/>
      <c r="Z1074" s="62"/>
      <c r="AA1074" s="62"/>
      <c r="AB1074" s="63"/>
      <c r="AC1074" s="62" t="str">
        <f t="shared" si="2"/>
        <v/>
      </c>
    </row>
    <row r="1075">
      <c r="U1075" s="62"/>
      <c r="V1075" s="62" t="str">
        <f>IFERROR(__xludf.DUMMYFUNCTION("SPLIT(U1075,"" "")"),"#VALUE!")</f>
        <v>#VALUE!</v>
      </c>
      <c r="W1075" s="62"/>
      <c r="X1075" s="62"/>
      <c r="Y1075" s="62"/>
      <c r="Z1075" s="62"/>
      <c r="AA1075" s="62"/>
      <c r="AB1075" s="63"/>
      <c r="AC1075" s="62" t="str">
        <f t="shared" si="2"/>
        <v/>
      </c>
    </row>
    <row r="1076">
      <c r="U1076" s="62"/>
      <c r="V1076" s="62" t="str">
        <f>IFERROR(__xludf.DUMMYFUNCTION("SPLIT(U1076,"" "")"),"#VALUE!")</f>
        <v>#VALUE!</v>
      </c>
      <c r="W1076" s="62"/>
      <c r="X1076" s="62"/>
      <c r="Y1076" s="62"/>
      <c r="Z1076" s="62"/>
      <c r="AA1076" s="62"/>
      <c r="AB1076" s="63"/>
      <c r="AC1076" s="62" t="str">
        <f t="shared" si="2"/>
        <v/>
      </c>
    </row>
    <row r="1077">
      <c r="U1077" s="62"/>
      <c r="V1077" s="62" t="str">
        <f>IFERROR(__xludf.DUMMYFUNCTION("SPLIT(U1077,"" "")"),"#VALUE!")</f>
        <v>#VALUE!</v>
      </c>
      <c r="W1077" s="62"/>
      <c r="X1077" s="62"/>
      <c r="Y1077" s="62"/>
      <c r="Z1077" s="62"/>
      <c r="AA1077" s="62"/>
      <c r="AB1077" s="63"/>
      <c r="AC1077" s="62" t="str">
        <f t="shared" si="2"/>
        <v/>
      </c>
    </row>
    <row r="1078">
      <c r="U1078" s="62"/>
      <c r="V1078" s="62" t="str">
        <f>IFERROR(__xludf.DUMMYFUNCTION("SPLIT(U1078,"" "")"),"#VALUE!")</f>
        <v>#VALUE!</v>
      </c>
      <c r="W1078" s="62"/>
      <c r="X1078" s="62"/>
      <c r="Y1078" s="62"/>
      <c r="Z1078" s="62"/>
      <c r="AA1078" s="62"/>
      <c r="AB1078" s="63"/>
      <c r="AC1078" s="62" t="str">
        <f t="shared" si="2"/>
        <v/>
      </c>
    </row>
    <row r="1079">
      <c r="U1079" s="62"/>
      <c r="V1079" s="62" t="str">
        <f>IFERROR(__xludf.DUMMYFUNCTION("SPLIT(U1079,"" "")"),"#VALUE!")</f>
        <v>#VALUE!</v>
      </c>
      <c r="W1079" s="62"/>
      <c r="X1079" s="62"/>
      <c r="Y1079" s="62"/>
      <c r="Z1079" s="62"/>
      <c r="AA1079" s="62"/>
      <c r="AB1079" s="63"/>
      <c r="AC1079" s="62" t="str">
        <f t="shared" si="2"/>
        <v/>
      </c>
    </row>
    <row r="1080">
      <c r="U1080" s="62"/>
      <c r="V1080" s="62" t="str">
        <f>IFERROR(__xludf.DUMMYFUNCTION("SPLIT(U1080,"" "")"),"#VALUE!")</f>
        <v>#VALUE!</v>
      </c>
      <c r="W1080" s="62"/>
      <c r="X1080" s="62"/>
      <c r="Y1080" s="62"/>
      <c r="Z1080" s="62"/>
      <c r="AA1080" s="62"/>
      <c r="AB1080" s="63"/>
      <c r="AC1080" s="62" t="str">
        <f t="shared" si="2"/>
        <v/>
      </c>
    </row>
    <row r="1081">
      <c r="U1081" s="62"/>
      <c r="V1081" s="62" t="str">
        <f>IFERROR(__xludf.DUMMYFUNCTION("SPLIT(U1081,"" "")"),"#VALUE!")</f>
        <v>#VALUE!</v>
      </c>
      <c r="W1081" s="62"/>
      <c r="X1081" s="62"/>
      <c r="Y1081" s="62"/>
      <c r="Z1081" s="62"/>
      <c r="AA1081" s="62"/>
      <c r="AB1081" s="63"/>
      <c r="AC1081" s="62" t="str">
        <f t="shared" si="2"/>
        <v/>
      </c>
    </row>
    <row r="1082">
      <c r="U1082" s="62"/>
      <c r="V1082" s="62" t="str">
        <f>IFERROR(__xludf.DUMMYFUNCTION("SPLIT(U1082,"" "")"),"#VALUE!")</f>
        <v>#VALUE!</v>
      </c>
      <c r="W1082" s="62"/>
      <c r="X1082" s="62"/>
      <c r="Y1082" s="62"/>
      <c r="Z1082" s="62"/>
      <c r="AA1082" s="62"/>
      <c r="AB1082" s="63"/>
      <c r="AC1082" s="62" t="str">
        <f t="shared" si="2"/>
        <v/>
      </c>
    </row>
    <row r="1083">
      <c r="U1083" s="62"/>
      <c r="V1083" s="62" t="str">
        <f>IFERROR(__xludf.DUMMYFUNCTION("SPLIT(U1083,"" "")"),"#VALUE!")</f>
        <v>#VALUE!</v>
      </c>
      <c r="W1083" s="62"/>
      <c r="X1083" s="62"/>
      <c r="Y1083" s="62"/>
      <c r="Z1083" s="62"/>
      <c r="AA1083" s="62"/>
      <c r="AB1083" s="63"/>
      <c r="AC1083" s="62" t="str">
        <f t="shared" si="2"/>
        <v/>
      </c>
    </row>
    <row r="1084">
      <c r="U1084" s="62"/>
      <c r="V1084" s="62" t="str">
        <f>IFERROR(__xludf.DUMMYFUNCTION("SPLIT(U1084,"" "")"),"#VALUE!")</f>
        <v>#VALUE!</v>
      </c>
      <c r="W1084" s="62"/>
      <c r="X1084" s="62"/>
      <c r="Y1084" s="62"/>
      <c r="Z1084" s="62"/>
      <c r="AA1084" s="62"/>
      <c r="AB1084" s="63"/>
      <c r="AC1084" s="62" t="str">
        <f t="shared" si="2"/>
        <v/>
      </c>
    </row>
    <row r="1085">
      <c r="U1085" s="62"/>
      <c r="V1085" s="62" t="str">
        <f>IFERROR(__xludf.DUMMYFUNCTION("SPLIT(U1085,"" "")"),"#VALUE!")</f>
        <v>#VALUE!</v>
      </c>
      <c r="W1085" s="62"/>
      <c r="X1085" s="62"/>
      <c r="Y1085" s="62"/>
      <c r="Z1085" s="62"/>
      <c r="AA1085" s="62"/>
      <c r="AB1085" s="63"/>
      <c r="AC1085" s="62" t="str">
        <f t="shared" si="2"/>
        <v/>
      </c>
    </row>
    <row r="1086">
      <c r="U1086" s="62"/>
      <c r="V1086" s="62" t="str">
        <f>IFERROR(__xludf.DUMMYFUNCTION("SPLIT(U1086,"" "")"),"#VALUE!")</f>
        <v>#VALUE!</v>
      </c>
      <c r="W1086" s="62"/>
      <c r="X1086" s="62"/>
      <c r="Y1086" s="62"/>
      <c r="Z1086" s="62"/>
      <c r="AA1086" s="62"/>
      <c r="AB1086" s="63"/>
      <c r="AC1086" s="62" t="str">
        <f t="shared" si="2"/>
        <v/>
      </c>
    </row>
    <row r="1087">
      <c r="U1087" s="62"/>
      <c r="V1087" s="62" t="str">
        <f>IFERROR(__xludf.DUMMYFUNCTION("SPLIT(U1087,"" "")"),"#VALUE!")</f>
        <v>#VALUE!</v>
      </c>
      <c r="W1087" s="62"/>
      <c r="X1087" s="62"/>
      <c r="Y1087" s="62"/>
      <c r="Z1087" s="62"/>
      <c r="AA1087" s="62"/>
      <c r="AB1087" s="63"/>
      <c r="AC1087" s="62" t="str">
        <f t="shared" si="2"/>
        <v/>
      </c>
    </row>
    <row r="1088">
      <c r="U1088" s="62"/>
      <c r="V1088" s="62" t="str">
        <f>IFERROR(__xludf.DUMMYFUNCTION("SPLIT(U1088,"" "")"),"#VALUE!")</f>
        <v>#VALUE!</v>
      </c>
      <c r="W1088" s="62"/>
      <c r="X1088" s="62"/>
      <c r="Y1088" s="62"/>
      <c r="Z1088" s="62"/>
      <c r="AA1088" s="62"/>
      <c r="AB1088" s="63"/>
      <c r="AC1088" s="62" t="str">
        <f t="shared" si="2"/>
        <v/>
      </c>
    </row>
    <row r="1089">
      <c r="U1089" s="62"/>
      <c r="V1089" s="62" t="str">
        <f>IFERROR(__xludf.DUMMYFUNCTION("SPLIT(U1089,"" "")"),"#VALUE!")</f>
        <v>#VALUE!</v>
      </c>
      <c r="W1089" s="62"/>
      <c r="X1089" s="62"/>
      <c r="Y1089" s="62"/>
      <c r="Z1089" s="62"/>
      <c r="AA1089" s="62"/>
      <c r="AB1089" s="63"/>
      <c r="AC1089" s="62" t="str">
        <f t="shared" si="2"/>
        <v/>
      </c>
    </row>
    <row r="1090">
      <c r="U1090" s="62"/>
      <c r="V1090" s="62" t="str">
        <f>IFERROR(__xludf.DUMMYFUNCTION("SPLIT(U1090,"" "")"),"#VALUE!")</f>
        <v>#VALUE!</v>
      </c>
      <c r="W1090" s="62"/>
      <c r="X1090" s="62"/>
      <c r="Y1090" s="62"/>
      <c r="Z1090" s="62"/>
      <c r="AA1090" s="62"/>
      <c r="AB1090" s="63"/>
      <c r="AC1090" s="62" t="str">
        <f t="shared" si="2"/>
        <v/>
      </c>
    </row>
    <row r="1091">
      <c r="U1091" s="62"/>
      <c r="V1091" s="62" t="str">
        <f>IFERROR(__xludf.DUMMYFUNCTION("SPLIT(U1091,"" "")"),"#VALUE!")</f>
        <v>#VALUE!</v>
      </c>
      <c r="W1091" s="62"/>
      <c r="X1091" s="62"/>
      <c r="Y1091" s="62"/>
      <c r="Z1091" s="62"/>
      <c r="AA1091" s="62"/>
      <c r="AB1091" s="63"/>
      <c r="AC1091" s="62" t="str">
        <f t="shared" si="2"/>
        <v/>
      </c>
    </row>
    <row r="1092">
      <c r="U1092" s="62"/>
      <c r="V1092" s="62" t="str">
        <f>IFERROR(__xludf.DUMMYFUNCTION("SPLIT(U1092,"" "")"),"#VALUE!")</f>
        <v>#VALUE!</v>
      </c>
      <c r="W1092" s="62"/>
      <c r="X1092" s="62"/>
      <c r="Y1092" s="62"/>
      <c r="Z1092" s="62"/>
      <c r="AA1092" s="62"/>
      <c r="AB1092" s="63"/>
      <c r="AC1092" s="62" t="str">
        <f t="shared" si="2"/>
        <v/>
      </c>
    </row>
    <row r="1093">
      <c r="U1093" s="62"/>
      <c r="V1093" s="62" t="str">
        <f>IFERROR(__xludf.DUMMYFUNCTION("SPLIT(U1093,"" "")"),"#VALUE!")</f>
        <v>#VALUE!</v>
      </c>
      <c r="W1093" s="62"/>
      <c r="X1093" s="62"/>
      <c r="Y1093" s="62"/>
      <c r="Z1093" s="62"/>
      <c r="AA1093" s="62"/>
      <c r="AB1093" s="63"/>
      <c r="AC1093" s="62" t="str">
        <f t="shared" si="2"/>
        <v/>
      </c>
    </row>
    <row r="1094">
      <c r="U1094" s="62"/>
      <c r="V1094" s="62" t="str">
        <f>IFERROR(__xludf.DUMMYFUNCTION("SPLIT(U1094,"" "")"),"#VALUE!")</f>
        <v>#VALUE!</v>
      </c>
      <c r="W1094" s="62"/>
      <c r="X1094" s="62"/>
      <c r="Y1094" s="62"/>
      <c r="Z1094" s="62"/>
      <c r="AA1094" s="62"/>
      <c r="AB1094" s="63"/>
      <c r="AC1094" s="62" t="str">
        <f t="shared" si="2"/>
        <v/>
      </c>
    </row>
    <row r="1095">
      <c r="U1095" s="62"/>
      <c r="V1095" s="62" t="str">
        <f>IFERROR(__xludf.DUMMYFUNCTION("SPLIT(U1095,"" "")"),"#VALUE!")</f>
        <v>#VALUE!</v>
      </c>
      <c r="W1095" s="62"/>
      <c r="X1095" s="62"/>
      <c r="Y1095" s="62"/>
      <c r="Z1095" s="62"/>
      <c r="AA1095" s="62"/>
      <c r="AB1095" s="63"/>
      <c r="AC1095" s="62" t="str">
        <f t="shared" si="2"/>
        <v/>
      </c>
    </row>
    <row r="1096">
      <c r="U1096" s="62"/>
      <c r="V1096" s="62" t="str">
        <f>IFERROR(__xludf.DUMMYFUNCTION("SPLIT(U1096,"" "")"),"#VALUE!")</f>
        <v>#VALUE!</v>
      </c>
      <c r="W1096" s="62"/>
      <c r="X1096" s="62"/>
      <c r="Y1096" s="62"/>
      <c r="Z1096" s="62"/>
      <c r="AA1096" s="62"/>
      <c r="AB1096" s="63"/>
      <c r="AC1096" s="62" t="str">
        <f t="shared" si="2"/>
        <v/>
      </c>
    </row>
    <row r="1097">
      <c r="U1097" s="62"/>
      <c r="V1097" s="62" t="str">
        <f>IFERROR(__xludf.DUMMYFUNCTION("SPLIT(U1097,"" "")"),"#VALUE!")</f>
        <v>#VALUE!</v>
      </c>
      <c r="W1097" s="62"/>
      <c r="X1097" s="62"/>
      <c r="Y1097" s="62"/>
      <c r="Z1097" s="62"/>
      <c r="AA1097" s="62"/>
      <c r="AB1097" s="63"/>
      <c r="AC1097" s="62" t="str">
        <f t="shared" si="2"/>
        <v/>
      </c>
    </row>
    <row r="1098">
      <c r="U1098" s="62"/>
      <c r="V1098" s="62" t="str">
        <f>IFERROR(__xludf.DUMMYFUNCTION("SPLIT(U1098,"" "")"),"#VALUE!")</f>
        <v>#VALUE!</v>
      </c>
      <c r="W1098" s="62"/>
      <c r="X1098" s="62"/>
      <c r="Y1098" s="62"/>
      <c r="Z1098" s="62"/>
      <c r="AA1098" s="62"/>
      <c r="AB1098" s="63"/>
      <c r="AC1098" s="62" t="str">
        <f t="shared" si="2"/>
        <v/>
      </c>
    </row>
    <row r="1099">
      <c r="U1099" s="62"/>
      <c r="V1099" s="62" t="str">
        <f>IFERROR(__xludf.DUMMYFUNCTION("SPLIT(U1099,"" "")"),"#VALUE!")</f>
        <v>#VALUE!</v>
      </c>
      <c r="W1099" s="62"/>
      <c r="X1099" s="62"/>
      <c r="Y1099" s="62"/>
      <c r="Z1099" s="62"/>
      <c r="AA1099" s="62"/>
      <c r="AB1099" s="63"/>
      <c r="AC1099" s="62" t="str">
        <f t="shared" si="2"/>
        <v/>
      </c>
    </row>
    <row r="1100">
      <c r="U1100" s="62"/>
      <c r="V1100" s="62" t="str">
        <f>IFERROR(__xludf.DUMMYFUNCTION("SPLIT(U1100,"" "")"),"#VALUE!")</f>
        <v>#VALUE!</v>
      </c>
      <c r="W1100" s="62"/>
      <c r="X1100" s="62"/>
      <c r="Y1100" s="62"/>
      <c r="Z1100" s="62"/>
      <c r="AA1100" s="62"/>
      <c r="AB1100" s="63"/>
      <c r="AC1100" s="62" t="str">
        <f t="shared" si="2"/>
        <v/>
      </c>
    </row>
    <row r="1101">
      <c r="U1101" s="62"/>
      <c r="V1101" s="62" t="str">
        <f>IFERROR(__xludf.DUMMYFUNCTION("SPLIT(U1101,"" "")"),"#VALUE!")</f>
        <v>#VALUE!</v>
      </c>
      <c r="W1101" s="62"/>
      <c r="X1101" s="62"/>
      <c r="Y1101" s="62"/>
      <c r="Z1101" s="62"/>
      <c r="AA1101" s="62"/>
      <c r="AB1101" s="63"/>
      <c r="AC1101" s="62" t="str">
        <f t="shared" si="2"/>
        <v/>
      </c>
    </row>
    <row r="1102">
      <c r="U1102" s="62"/>
      <c r="V1102" s="62" t="str">
        <f>IFERROR(__xludf.DUMMYFUNCTION("SPLIT(U1102,"" "")"),"#VALUE!")</f>
        <v>#VALUE!</v>
      </c>
      <c r="W1102" s="62"/>
      <c r="X1102" s="62"/>
      <c r="Y1102" s="62"/>
      <c r="Z1102" s="62"/>
      <c r="AA1102" s="62"/>
      <c r="AB1102" s="63"/>
      <c r="AC1102" s="62" t="str">
        <f t="shared" si="2"/>
        <v/>
      </c>
    </row>
    <row r="1103">
      <c r="U1103" s="62"/>
      <c r="V1103" s="62" t="str">
        <f>IFERROR(__xludf.DUMMYFUNCTION("SPLIT(U1103,"" "")"),"#VALUE!")</f>
        <v>#VALUE!</v>
      </c>
      <c r="W1103" s="62"/>
      <c r="X1103" s="62"/>
      <c r="Y1103" s="62"/>
      <c r="Z1103" s="62"/>
      <c r="AA1103" s="62"/>
      <c r="AB1103" s="63"/>
      <c r="AC1103" s="62" t="str">
        <f t="shared" si="2"/>
        <v/>
      </c>
    </row>
    <row r="1104">
      <c r="U1104" s="62"/>
      <c r="V1104" s="62" t="str">
        <f>IFERROR(__xludf.DUMMYFUNCTION("SPLIT(U1104,"" "")"),"#VALUE!")</f>
        <v>#VALUE!</v>
      </c>
      <c r="W1104" s="62"/>
      <c r="X1104" s="62"/>
      <c r="Y1104" s="62"/>
      <c r="Z1104" s="62"/>
      <c r="AA1104" s="62"/>
      <c r="AB1104" s="63"/>
      <c r="AC1104" s="62" t="str">
        <f t="shared" si="2"/>
        <v/>
      </c>
    </row>
    <row r="1105">
      <c r="U1105" s="62"/>
      <c r="V1105" s="62" t="str">
        <f>IFERROR(__xludf.DUMMYFUNCTION("SPLIT(U1105,"" "")"),"#VALUE!")</f>
        <v>#VALUE!</v>
      </c>
      <c r="W1105" s="62"/>
      <c r="X1105" s="62"/>
      <c r="Y1105" s="62"/>
      <c r="Z1105" s="62"/>
      <c r="AA1105" s="62"/>
      <c r="AB1105" s="63"/>
      <c r="AC1105" s="62" t="str">
        <f t="shared" si="2"/>
        <v/>
      </c>
    </row>
    <row r="1106">
      <c r="U1106" s="62"/>
      <c r="V1106" s="62" t="str">
        <f>IFERROR(__xludf.DUMMYFUNCTION("SPLIT(U1106,"" "")"),"#VALUE!")</f>
        <v>#VALUE!</v>
      </c>
      <c r="W1106" s="62"/>
      <c r="X1106" s="62"/>
      <c r="Y1106" s="62"/>
      <c r="Z1106" s="62"/>
      <c r="AA1106" s="62"/>
      <c r="AB1106" s="63"/>
      <c r="AC1106" s="62" t="str">
        <f t="shared" si="2"/>
        <v/>
      </c>
    </row>
    <row r="1107">
      <c r="U1107" s="62"/>
      <c r="V1107" s="62" t="str">
        <f>IFERROR(__xludf.DUMMYFUNCTION("SPLIT(U1107,"" "")"),"#VALUE!")</f>
        <v>#VALUE!</v>
      </c>
      <c r="W1107" s="62"/>
      <c r="X1107" s="62"/>
      <c r="Y1107" s="62"/>
      <c r="Z1107" s="62"/>
      <c r="AA1107" s="62"/>
      <c r="AB1107" s="63"/>
      <c r="AC1107" s="62" t="str">
        <f t="shared" si="2"/>
        <v/>
      </c>
    </row>
    <row r="1108">
      <c r="U1108" s="62"/>
      <c r="V1108" s="62" t="str">
        <f>IFERROR(__xludf.DUMMYFUNCTION("SPLIT(U1108,"" "")"),"#VALUE!")</f>
        <v>#VALUE!</v>
      </c>
      <c r="W1108" s="62"/>
      <c r="X1108" s="62"/>
      <c r="Y1108" s="62"/>
      <c r="Z1108" s="62"/>
      <c r="AA1108" s="62"/>
      <c r="AB1108" s="63"/>
      <c r="AC1108" s="62" t="str">
        <f t="shared" si="2"/>
        <v/>
      </c>
    </row>
    <row r="1109">
      <c r="U1109" s="62"/>
      <c r="V1109" s="62" t="str">
        <f>IFERROR(__xludf.DUMMYFUNCTION("SPLIT(U1109,"" "")"),"#VALUE!")</f>
        <v>#VALUE!</v>
      </c>
      <c r="W1109" s="62"/>
      <c r="X1109" s="62"/>
      <c r="Y1109" s="62"/>
      <c r="Z1109" s="62"/>
      <c r="AA1109" s="62"/>
      <c r="AB1109" s="63"/>
      <c r="AC1109" s="62" t="str">
        <f t="shared" si="2"/>
        <v/>
      </c>
    </row>
    <row r="1110">
      <c r="U1110" s="62"/>
      <c r="V1110" s="62" t="str">
        <f>IFERROR(__xludf.DUMMYFUNCTION("SPLIT(U1110,"" "")"),"#VALUE!")</f>
        <v>#VALUE!</v>
      </c>
      <c r="W1110" s="62"/>
      <c r="X1110" s="62"/>
      <c r="Y1110" s="62"/>
      <c r="Z1110" s="62"/>
      <c r="AA1110" s="62"/>
      <c r="AB1110" s="63"/>
      <c r="AC1110" s="62" t="str">
        <f t="shared" si="2"/>
        <v/>
      </c>
    </row>
    <row r="1111">
      <c r="U1111" s="62"/>
      <c r="V1111" s="62" t="str">
        <f>IFERROR(__xludf.DUMMYFUNCTION("SPLIT(U1111,"" "")"),"#VALUE!")</f>
        <v>#VALUE!</v>
      </c>
      <c r="W1111" s="62"/>
      <c r="X1111" s="62"/>
      <c r="Y1111" s="62"/>
      <c r="Z1111" s="62"/>
      <c r="AA1111" s="62"/>
      <c r="AB1111" s="63"/>
      <c r="AC1111" s="62" t="str">
        <f t="shared" si="2"/>
        <v/>
      </c>
    </row>
    <row r="1112">
      <c r="U1112" s="62"/>
      <c r="V1112" s="62" t="str">
        <f>IFERROR(__xludf.DUMMYFUNCTION("SPLIT(U1112,"" "")"),"#VALUE!")</f>
        <v>#VALUE!</v>
      </c>
      <c r="W1112" s="62"/>
      <c r="X1112" s="62"/>
      <c r="Y1112" s="62"/>
      <c r="Z1112" s="62"/>
      <c r="AA1112" s="62"/>
      <c r="AB1112" s="63"/>
      <c r="AC1112" s="62" t="str">
        <f t="shared" si="2"/>
        <v/>
      </c>
    </row>
    <row r="1113">
      <c r="U1113" s="62"/>
      <c r="V1113" s="62" t="str">
        <f>IFERROR(__xludf.DUMMYFUNCTION("SPLIT(U1113,"" "")"),"#VALUE!")</f>
        <v>#VALUE!</v>
      </c>
      <c r="W1113" s="62"/>
      <c r="X1113" s="62"/>
      <c r="Y1113" s="62"/>
      <c r="Z1113" s="62"/>
      <c r="AA1113" s="62"/>
      <c r="AB1113" s="63"/>
      <c r="AC1113" s="62" t="str">
        <f t="shared" si="2"/>
        <v/>
      </c>
    </row>
    <row r="1114">
      <c r="U1114" s="62"/>
      <c r="V1114" s="62" t="str">
        <f>IFERROR(__xludf.DUMMYFUNCTION("SPLIT(U1114,"" "")"),"#VALUE!")</f>
        <v>#VALUE!</v>
      </c>
      <c r="W1114" s="62"/>
      <c r="X1114" s="62"/>
      <c r="Y1114" s="62"/>
      <c r="Z1114" s="62"/>
      <c r="AA1114" s="62"/>
      <c r="AB1114" s="63"/>
      <c r="AC1114" s="62" t="str">
        <f t="shared" si="2"/>
        <v/>
      </c>
    </row>
    <row r="1115">
      <c r="U1115" s="62"/>
      <c r="V1115" s="62" t="str">
        <f>IFERROR(__xludf.DUMMYFUNCTION("SPLIT(U1115,"" "")"),"#VALUE!")</f>
        <v>#VALUE!</v>
      </c>
      <c r="W1115" s="62"/>
      <c r="X1115" s="62"/>
      <c r="Y1115" s="62"/>
      <c r="Z1115" s="62"/>
      <c r="AA1115" s="62"/>
      <c r="AB1115" s="63"/>
      <c r="AC1115" s="62" t="str">
        <f t="shared" si="2"/>
        <v/>
      </c>
    </row>
    <row r="1116">
      <c r="U1116" s="62"/>
      <c r="V1116" s="62" t="str">
        <f>IFERROR(__xludf.DUMMYFUNCTION("SPLIT(U1116,"" "")"),"#VALUE!")</f>
        <v>#VALUE!</v>
      </c>
      <c r="W1116" s="62"/>
      <c r="X1116" s="62"/>
      <c r="Y1116" s="62"/>
      <c r="Z1116" s="62"/>
      <c r="AA1116" s="62"/>
      <c r="AB1116" s="63"/>
      <c r="AC1116" s="62" t="str">
        <f t="shared" si="2"/>
        <v/>
      </c>
    </row>
    <row r="1117">
      <c r="U1117" s="62"/>
      <c r="V1117" s="62" t="str">
        <f>IFERROR(__xludf.DUMMYFUNCTION("SPLIT(U1117,"" "")"),"#VALUE!")</f>
        <v>#VALUE!</v>
      </c>
      <c r="W1117" s="62"/>
      <c r="X1117" s="62"/>
      <c r="Y1117" s="62"/>
      <c r="Z1117" s="62"/>
      <c r="AA1117" s="62"/>
      <c r="AB1117" s="63"/>
      <c r="AC1117" s="62" t="str">
        <f t="shared" si="2"/>
        <v/>
      </c>
    </row>
    <row r="1118">
      <c r="U1118" s="62"/>
      <c r="V1118" s="62" t="str">
        <f>IFERROR(__xludf.DUMMYFUNCTION("SPLIT(U1118,"" "")"),"#VALUE!")</f>
        <v>#VALUE!</v>
      </c>
      <c r="W1118" s="62"/>
      <c r="X1118" s="62"/>
      <c r="Y1118" s="62"/>
      <c r="Z1118" s="62"/>
      <c r="AA1118" s="62"/>
      <c r="AB1118" s="63"/>
      <c r="AC1118" s="62" t="str">
        <f t="shared" si="2"/>
        <v/>
      </c>
    </row>
    <row r="1119">
      <c r="U1119" s="62"/>
      <c r="V1119" s="62" t="str">
        <f>IFERROR(__xludf.DUMMYFUNCTION("SPLIT(U1119,"" "")"),"#VALUE!")</f>
        <v>#VALUE!</v>
      </c>
      <c r="W1119" s="62"/>
      <c r="X1119" s="62"/>
      <c r="Y1119" s="62"/>
      <c r="Z1119" s="62"/>
      <c r="AA1119" s="62"/>
      <c r="AB1119" s="63"/>
      <c r="AC1119" s="62" t="str">
        <f t="shared" si="2"/>
        <v/>
      </c>
    </row>
    <row r="1120">
      <c r="U1120" s="62"/>
      <c r="V1120" s="62" t="str">
        <f>IFERROR(__xludf.DUMMYFUNCTION("SPLIT(U1120,"" "")"),"#VALUE!")</f>
        <v>#VALUE!</v>
      </c>
      <c r="W1120" s="62"/>
      <c r="X1120" s="62"/>
      <c r="Y1120" s="62"/>
      <c r="Z1120" s="62"/>
      <c r="AA1120" s="62"/>
      <c r="AB1120" s="63"/>
      <c r="AC1120" s="62" t="str">
        <f t="shared" si="2"/>
        <v/>
      </c>
    </row>
    <row r="1121">
      <c r="U1121" s="62"/>
      <c r="V1121" s="62" t="str">
        <f>IFERROR(__xludf.DUMMYFUNCTION("SPLIT(U1121,"" "")"),"#VALUE!")</f>
        <v>#VALUE!</v>
      </c>
      <c r="W1121" s="62"/>
      <c r="X1121" s="62"/>
      <c r="Y1121" s="62"/>
      <c r="Z1121" s="62"/>
      <c r="AA1121" s="62"/>
      <c r="AB1121" s="63"/>
      <c r="AC1121" s="62" t="str">
        <f t="shared" si="2"/>
        <v/>
      </c>
    </row>
    <row r="1122">
      <c r="U1122" s="62"/>
      <c r="V1122" s="62" t="str">
        <f>IFERROR(__xludf.DUMMYFUNCTION("SPLIT(U1122,"" "")"),"#VALUE!")</f>
        <v>#VALUE!</v>
      </c>
      <c r="W1122" s="62"/>
      <c r="X1122" s="62"/>
      <c r="Y1122" s="62"/>
      <c r="Z1122" s="62"/>
      <c r="AA1122" s="62"/>
      <c r="AB1122" s="63"/>
      <c r="AC1122" s="62" t="str">
        <f t="shared" si="2"/>
        <v/>
      </c>
    </row>
    <row r="1123">
      <c r="U1123" s="62"/>
      <c r="V1123" s="62" t="str">
        <f>IFERROR(__xludf.DUMMYFUNCTION("SPLIT(U1123,"" "")"),"#VALUE!")</f>
        <v>#VALUE!</v>
      </c>
      <c r="W1123" s="62"/>
      <c r="X1123" s="62"/>
      <c r="Y1123" s="62"/>
      <c r="Z1123" s="62"/>
      <c r="AA1123" s="62"/>
      <c r="AB1123" s="63"/>
      <c r="AC1123" s="62" t="str">
        <f t="shared" si="2"/>
        <v/>
      </c>
    </row>
    <row r="1124">
      <c r="U1124" s="62"/>
      <c r="V1124" s="62" t="str">
        <f>IFERROR(__xludf.DUMMYFUNCTION("SPLIT(U1124,"" "")"),"#VALUE!")</f>
        <v>#VALUE!</v>
      </c>
      <c r="W1124" s="62"/>
      <c r="X1124" s="62"/>
      <c r="Y1124" s="62"/>
      <c r="Z1124" s="62"/>
      <c r="AA1124" s="62"/>
      <c r="AB1124" s="63"/>
      <c r="AC1124" s="62" t="str">
        <f t="shared" si="2"/>
        <v/>
      </c>
    </row>
    <row r="1125">
      <c r="U1125" s="62"/>
      <c r="V1125" s="62" t="str">
        <f>IFERROR(__xludf.DUMMYFUNCTION("SPLIT(U1125,"" "")"),"#VALUE!")</f>
        <v>#VALUE!</v>
      </c>
      <c r="W1125" s="62"/>
      <c r="X1125" s="62"/>
      <c r="Y1125" s="62"/>
      <c r="Z1125" s="62"/>
      <c r="AA1125" s="62"/>
      <c r="AB1125" s="63"/>
      <c r="AC1125" s="62" t="str">
        <f t="shared" si="2"/>
        <v/>
      </c>
    </row>
    <row r="1126">
      <c r="U1126" s="62"/>
      <c r="V1126" s="62" t="str">
        <f>IFERROR(__xludf.DUMMYFUNCTION("SPLIT(U1126,"" "")"),"#VALUE!")</f>
        <v>#VALUE!</v>
      </c>
      <c r="W1126" s="62"/>
      <c r="X1126" s="62"/>
      <c r="Y1126" s="62"/>
      <c r="Z1126" s="62"/>
      <c r="AA1126" s="62"/>
      <c r="AB1126" s="63"/>
      <c r="AC1126" s="62" t="str">
        <f t="shared" si="2"/>
        <v/>
      </c>
    </row>
    <row r="1127">
      <c r="U1127" s="62"/>
      <c r="V1127" s="62" t="str">
        <f>IFERROR(__xludf.DUMMYFUNCTION("SPLIT(U1127,"" "")"),"#VALUE!")</f>
        <v>#VALUE!</v>
      </c>
      <c r="W1127" s="62"/>
      <c r="X1127" s="62"/>
      <c r="Y1127" s="62"/>
      <c r="Z1127" s="62"/>
      <c r="AA1127" s="62"/>
      <c r="AB1127" s="63"/>
      <c r="AC1127" s="62" t="str">
        <f t="shared" si="2"/>
        <v/>
      </c>
    </row>
    <row r="1128">
      <c r="U1128" s="62"/>
      <c r="V1128" s="62" t="str">
        <f>IFERROR(__xludf.DUMMYFUNCTION("SPLIT(U1128,"" "")"),"#VALUE!")</f>
        <v>#VALUE!</v>
      </c>
      <c r="W1128" s="62"/>
      <c r="X1128" s="62"/>
      <c r="Y1128" s="62"/>
      <c r="Z1128" s="62"/>
      <c r="AA1128" s="62"/>
      <c r="AB1128" s="63"/>
      <c r="AC1128" s="62" t="str">
        <f t="shared" si="2"/>
        <v/>
      </c>
    </row>
    <row r="1129">
      <c r="U1129" s="62"/>
      <c r="V1129" s="62" t="str">
        <f>IFERROR(__xludf.DUMMYFUNCTION("SPLIT(U1129,"" "")"),"#VALUE!")</f>
        <v>#VALUE!</v>
      </c>
      <c r="W1129" s="62"/>
      <c r="X1129" s="62"/>
      <c r="Y1129" s="62"/>
      <c r="Z1129" s="62"/>
      <c r="AA1129" s="62"/>
      <c r="AB1129" s="63"/>
      <c r="AC1129" s="62" t="str">
        <f t="shared" si="2"/>
        <v/>
      </c>
    </row>
    <row r="1130">
      <c r="U1130" s="62"/>
      <c r="V1130" s="62" t="str">
        <f>IFERROR(__xludf.DUMMYFUNCTION("SPLIT(U1130,"" "")"),"#VALUE!")</f>
        <v>#VALUE!</v>
      </c>
      <c r="W1130" s="62"/>
      <c r="X1130" s="62"/>
      <c r="Y1130" s="62"/>
      <c r="Z1130" s="62"/>
      <c r="AA1130" s="62"/>
      <c r="AB1130" s="63"/>
      <c r="AC1130" s="62" t="str">
        <f t="shared" si="2"/>
        <v/>
      </c>
    </row>
    <row r="1131">
      <c r="U1131" s="62"/>
      <c r="V1131" s="62" t="str">
        <f>IFERROR(__xludf.DUMMYFUNCTION("SPLIT(U1131,"" "")"),"#VALUE!")</f>
        <v>#VALUE!</v>
      </c>
      <c r="W1131" s="62"/>
      <c r="X1131" s="62"/>
      <c r="Y1131" s="62"/>
      <c r="Z1131" s="62"/>
      <c r="AA1131" s="62"/>
      <c r="AB1131" s="63"/>
      <c r="AC1131" s="62" t="str">
        <f t="shared" si="2"/>
        <v/>
      </c>
    </row>
    <row r="1132">
      <c r="U1132" s="62"/>
      <c r="V1132" s="62" t="str">
        <f>IFERROR(__xludf.DUMMYFUNCTION("SPLIT(U1132,"" "")"),"#VALUE!")</f>
        <v>#VALUE!</v>
      </c>
      <c r="W1132" s="62"/>
      <c r="X1132" s="62"/>
      <c r="Y1132" s="62"/>
      <c r="Z1132" s="62"/>
      <c r="AA1132" s="62"/>
      <c r="AB1132" s="63"/>
      <c r="AC1132" s="62" t="str">
        <f t="shared" si="2"/>
        <v/>
      </c>
    </row>
    <row r="1133">
      <c r="U1133" s="62"/>
      <c r="V1133" s="62" t="str">
        <f>IFERROR(__xludf.DUMMYFUNCTION("SPLIT(U1133,"" "")"),"#VALUE!")</f>
        <v>#VALUE!</v>
      </c>
      <c r="W1133" s="62"/>
      <c r="X1133" s="62"/>
      <c r="Y1133" s="62"/>
      <c r="Z1133" s="62"/>
      <c r="AA1133" s="62"/>
      <c r="AB1133" s="63"/>
      <c r="AC1133" s="62" t="str">
        <f t="shared" si="2"/>
        <v/>
      </c>
    </row>
    <row r="1134">
      <c r="U1134" s="62"/>
      <c r="V1134" s="62" t="str">
        <f>IFERROR(__xludf.DUMMYFUNCTION("SPLIT(U1134,"" "")"),"#VALUE!")</f>
        <v>#VALUE!</v>
      </c>
      <c r="W1134" s="62"/>
      <c r="X1134" s="62"/>
      <c r="Y1134" s="62"/>
      <c r="Z1134" s="62"/>
      <c r="AA1134" s="62"/>
      <c r="AB1134" s="63"/>
      <c r="AC1134" s="62" t="str">
        <f t="shared" si="2"/>
        <v/>
      </c>
    </row>
    <row r="1135">
      <c r="U1135" s="62"/>
      <c r="V1135" s="62" t="str">
        <f>IFERROR(__xludf.DUMMYFUNCTION("SPLIT(U1135,"" "")"),"#VALUE!")</f>
        <v>#VALUE!</v>
      </c>
      <c r="W1135" s="62"/>
      <c r="X1135" s="62"/>
      <c r="Y1135" s="62"/>
      <c r="Z1135" s="62"/>
      <c r="AA1135" s="62"/>
      <c r="AB1135" s="63"/>
      <c r="AC1135" s="62" t="str">
        <f t="shared" si="2"/>
        <v/>
      </c>
    </row>
    <row r="1136">
      <c r="U1136" s="62"/>
      <c r="V1136" s="62" t="str">
        <f>IFERROR(__xludf.DUMMYFUNCTION("SPLIT(U1136,"" "")"),"#VALUE!")</f>
        <v>#VALUE!</v>
      </c>
      <c r="W1136" s="62"/>
      <c r="X1136" s="62"/>
      <c r="Y1136" s="62"/>
      <c r="Z1136" s="62"/>
      <c r="AA1136" s="62"/>
      <c r="AB1136" s="63"/>
      <c r="AC1136" s="62" t="str">
        <f t="shared" si="2"/>
        <v/>
      </c>
    </row>
    <row r="1137">
      <c r="U1137" s="62"/>
      <c r="V1137" s="62" t="str">
        <f>IFERROR(__xludf.DUMMYFUNCTION("SPLIT(U1137,"" "")"),"#VALUE!")</f>
        <v>#VALUE!</v>
      </c>
      <c r="W1137" s="62"/>
      <c r="X1137" s="62"/>
      <c r="Y1137" s="62"/>
      <c r="Z1137" s="62"/>
      <c r="AA1137" s="62"/>
      <c r="AB1137" s="63"/>
      <c r="AC1137" s="62" t="str">
        <f t="shared" si="2"/>
        <v/>
      </c>
    </row>
    <row r="1138">
      <c r="U1138" s="62"/>
      <c r="V1138" s="62" t="str">
        <f>IFERROR(__xludf.DUMMYFUNCTION("SPLIT(U1138,"" "")"),"#VALUE!")</f>
        <v>#VALUE!</v>
      </c>
      <c r="W1138" s="62"/>
      <c r="X1138" s="62"/>
      <c r="Y1138" s="62"/>
      <c r="Z1138" s="62"/>
      <c r="AA1138" s="62"/>
      <c r="AB1138" s="63"/>
      <c r="AC1138" s="62" t="str">
        <f t="shared" si="2"/>
        <v/>
      </c>
    </row>
    <row r="1139">
      <c r="U1139" s="62"/>
      <c r="V1139" s="62" t="str">
        <f>IFERROR(__xludf.DUMMYFUNCTION("SPLIT(U1139,"" "")"),"#VALUE!")</f>
        <v>#VALUE!</v>
      </c>
      <c r="W1139" s="62"/>
      <c r="X1139" s="62"/>
      <c r="Y1139" s="62"/>
      <c r="Z1139" s="62"/>
      <c r="AA1139" s="62"/>
      <c r="AB1139" s="63"/>
      <c r="AC1139" s="62" t="str">
        <f t="shared" si="2"/>
        <v/>
      </c>
    </row>
    <row r="1140">
      <c r="U1140" s="62"/>
      <c r="V1140" s="62" t="str">
        <f>IFERROR(__xludf.DUMMYFUNCTION("SPLIT(U1140,"" "")"),"#VALUE!")</f>
        <v>#VALUE!</v>
      </c>
      <c r="W1140" s="62"/>
      <c r="X1140" s="62"/>
      <c r="Y1140" s="62"/>
      <c r="Z1140" s="62"/>
      <c r="AA1140" s="62"/>
      <c r="AB1140" s="63"/>
      <c r="AC1140" s="62" t="str">
        <f t="shared" si="2"/>
        <v/>
      </c>
    </row>
    <row r="1141">
      <c r="U1141" s="62"/>
      <c r="V1141" s="62" t="str">
        <f>IFERROR(__xludf.DUMMYFUNCTION("SPLIT(U1141,"" "")"),"#VALUE!")</f>
        <v>#VALUE!</v>
      </c>
      <c r="W1141" s="62"/>
      <c r="X1141" s="62"/>
      <c r="Y1141" s="62"/>
      <c r="Z1141" s="62"/>
      <c r="AA1141" s="62"/>
      <c r="AB1141" s="63"/>
      <c r="AC1141" s="62" t="str">
        <f t="shared" si="2"/>
        <v/>
      </c>
    </row>
    <row r="1142">
      <c r="U1142" s="62"/>
      <c r="V1142" s="62" t="str">
        <f>IFERROR(__xludf.DUMMYFUNCTION("SPLIT(U1142,"" "")"),"#VALUE!")</f>
        <v>#VALUE!</v>
      </c>
      <c r="W1142" s="62"/>
      <c r="X1142" s="62"/>
      <c r="Y1142" s="62"/>
      <c r="Z1142" s="62"/>
      <c r="AA1142" s="62"/>
      <c r="AB1142" s="63"/>
      <c r="AC1142" s="62" t="str">
        <f t="shared" si="2"/>
        <v/>
      </c>
    </row>
    <row r="1143">
      <c r="U1143" s="62"/>
      <c r="V1143" s="62" t="str">
        <f>IFERROR(__xludf.DUMMYFUNCTION("SPLIT(U1143,"" "")"),"#VALUE!")</f>
        <v>#VALUE!</v>
      </c>
      <c r="W1143" s="62"/>
      <c r="X1143" s="62"/>
      <c r="Y1143" s="62"/>
      <c r="Z1143" s="62"/>
      <c r="AA1143" s="62"/>
      <c r="AB1143" s="63"/>
      <c r="AC1143" s="62" t="str">
        <f t="shared" si="2"/>
        <v/>
      </c>
    </row>
    <row r="1144">
      <c r="U1144" s="62"/>
      <c r="V1144" s="62" t="str">
        <f>IFERROR(__xludf.DUMMYFUNCTION("SPLIT(U1144,"" "")"),"#VALUE!")</f>
        <v>#VALUE!</v>
      </c>
      <c r="W1144" s="62"/>
      <c r="X1144" s="62"/>
      <c r="Y1144" s="62"/>
      <c r="Z1144" s="62"/>
      <c r="AA1144" s="62"/>
      <c r="AB1144" s="63"/>
      <c r="AC1144" s="62" t="str">
        <f t="shared" si="2"/>
        <v/>
      </c>
    </row>
    <row r="1145">
      <c r="U1145" s="62"/>
      <c r="V1145" s="62" t="str">
        <f>IFERROR(__xludf.DUMMYFUNCTION("SPLIT(U1145,"" "")"),"#VALUE!")</f>
        <v>#VALUE!</v>
      </c>
      <c r="W1145" s="62"/>
      <c r="X1145" s="62"/>
      <c r="Y1145" s="62"/>
      <c r="Z1145" s="62"/>
      <c r="AA1145" s="62"/>
      <c r="AB1145" s="63"/>
      <c r="AC1145" s="62" t="str">
        <f t="shared" si="2"/>
        <v/>
      </c>
    </row>
    <row r="1146">
      <c r="U1146" s="62"/>
      <c r="V1146" s="62" t="str">
        <f>IFERROR(__xludf.DUMMYFUNCTION("SPLIT(U1146,"" "")"),"#VALUE!")</f>
        <v>#VALUE!</v>
      </c>
      <c r="W1146" s="62"/>
      <c r="X1146" s="62"/>
      <c r="Y1146" s="62"/>
      <c r="Z1146" s="62"/>
      <c r="AA1146" s="62"/>
      <c r="AB1146" s="63"/>
      <c r="AC1146" s="62" t="str">
        <f t="shared" si="2"/>
        <v/>
      </c>
    </row>
    <row r="1147">
      <c r="U1147" s="62"/>
      <c r="V1147" s="62" t="str">
        <f>IFERROR(__xludf.DUMMYFUNCTION("SPLIT(U1147,"" "")"),"#VALUE!")</f>
        <v>#VALUE!</v>
      </c>
      <c r="W1147" s="62"/>
      <c r="X1147" s="62"/>
      <c r="Y1147" s="62"/>
      <c r="Z1147" s="62"/>
      <c r="AA1147" s="62"/>
      <c r="AB1147" s="63"/>
      <c r="AC1147" s="62" t="str">
        <f t="shared" si="2"/>
        <v/>
      </c>
    </row>
    <row r="1148">
      <c r="U1148" s="62"/>
      <c r="V1148" s="62" t="str">
        <f>IFERROR(__xludf.DUMMYFUNCTION("SPLIT(U1148,"" "")"),"#VALUE!")</f>
        <v>#VALUE!</v>
      </c>
      <c r="W1148" s="62"/>
      <c r="X1148" s="62"/>
      <c r="Y1148" s="62"/>
      <c r="Z1148" s="62"/>
      <c r="AA1148" s="62"/>
      <c r="AB1148" s="63"/>
      <c r="AC1148" s="62" t="str">
        <f t="shared" si="2"/>
        <v/>
      </c>
    </row>
    <row r="1149">
      <c r="U1149" s="62"/>
      <c r="V1149" s="62" t="str">
        <f>IFERROR(__xludf.DUMMYFUNCTION("SPLIT(U1149,"" "")"),"#VALUE!")</f>
        <v>#VALUE!</v>
      </c>
      <c r="W1149" s="62"/>
      <c r="X1149" s="62"/>
      <c r="Y1149" s="62"/>
      <c r="Z1149" s="62"/>
      <c r="AA1149" s="62"/>
      <c r="AB1149" s="63"/>
      <c r="AC1149" s="62" t="str">
        <f t="shared" si="2"/>
        <v/>
      </c>
    </row>
    <row r="1150">
      <c r="U1150" s="62"/>
      <c r="V1150" s="62" t="str">
        <f>IFERROR(__xludf.DUMMYFUNCTION("SPLIT(U1150,"" "")"),"#VALUE!")</f>
        <v>#VALUE!</v>
      </c>
      <c r="W1150" s="62"/>
      <c r="X1150" s="62"/>
      <c r="Y1150" s="62"/>
      <c r="Z1150" s="62"/>
      <c r="AA1150" s="62"/>
      <c r="AB1150" s="63"/>
      <c r="AC1150" s="62" t="str">
        <f t="shared" si="2"/>
        <v/>
      </c>
    </row>
    <row r="1151">
      <c r="U1151" s="62"/>
      <c r="V1151" s="62" t="str">
        <f>IFERROR(__xludf.DUMMYFUNCTION("SPLIT(U1151,"" "")"),"#VALUE!")</f>
        <v>#VALUE!</v>
      </c>
      <c r="W1151" s="62"/>
      <c r="X1151" s="62"/>
      <c r="Y1151" s="62"/>
      <c r="Z1151" s="62"/>
      <c r="AA1151" s="62"/>
      <c r="AB1151" s="63"/>
      <c r="AC1151" s="62" t="str">
        <f t="shared" si="2"/>
        <v/>
      </c>
    </row>
    <row r="1152">
      <c r="U1152" s="62"/>
      <c r="V1152" s="62" t="str">
        <f>IFERROR(__xludf.DUMMYFUNCTION("SPLIT(U1152,"" "")"),"#VALUE!")</f>
        <v>#VALUE!</v>
      </c>
      <c r="W1152" s="62"/>
      <c r="X1152" s="62"/>
      <c r="Y1152" s="62"/>
      <c r="Z1152" s="62"/>
      <c r="AA1152" s="62"/>
      <c r="AB1152" s="63"/>
      <c r="AC1152" s="62" t="str">
        <f t="shared" si="2"/>
        <v/>
      </c>
    </row>
    <row r="1153">
      <c r="U1153" s="62"/>
      <c r="V1153" s="62" t="str">
        <f>IFERROR(__xludf.DUMMYFUNCTION("SPLIT(U1153,"" "")"),"#VALUE!")</f>
        <v>#VALUE!</v>
      </c>
      <c r="W1153" s="62"/>
      <c r="X1153" s="62"/>
      <c r="Y1153" s="62"/>
      <c r="Z1153" s="62"/>
      <c r="AA1153" s="62"/>
      <c r="AB1153" s="63"/>
      <c r="AC1153" s="62" t="str">
        <f t="shared" si="2"/>
        <v/>
      </c>
    </row>
    <row r="1154">
      <c r="U1154" s="62"/>
      <c r="V1154" s="62" t="str">
        <f>IFERROR(__xludf.DUMMYFUNCTION("SPLIT(U1154,"" "")"),"#VALUE!")</f>
        <v>#VALUE!</v>
      </c>
      <c r="W1154" s="62"/>
      <c r="X1154" s="62"/>
      <c r="Y1154" s="62"/>
      <c r="Z1154" s="62"/>
      <c r="AA1154" s="62"/>
      <c r="AB1154" s="63"/>
      <c r="AC1154" s="62" t="str">
        <f t="shared" si="2"/>
        <v/>
      </c>
    </row>
    <row r="1155">
      <c r="U1155" s="62"/>
      <c r="V1155" s="62" t="str">
        <f>IFERROR(__xludf.DUMMYFUNCTION("SPLIT(U1155,"" "")"),"#VALUE!")</f>
        <v>#VALUE!</v>
      </c>
      <c r="W1155" s="62"/>
      <c r="X1155" s="62"/>
      <c r="Y1155" s="62"/>
      <c r="Z1155" s="62"/>
      <c r="AA1155" s="62"/>
      <c r="AB1155" s="63"/>
      <c r="AC1155" s="62" t="str">
        <f t="shared" si="2"/>
        <v/>
      </c>
    </row>
    <row r="1156">
      <c r="U1156" s="62"/>
      <c r="V1156" s="62" t="str">
        <f>IFERROR(__xludf.DUMMYFUNCTION("SPLIT(U1156,"" "")"),"#VALUE!")</f>
        <v>#VALUE!</v>
      </c>
      <c r="W1156" s="62"/>
      <c r="X1156" s="62"/>
      <c r="Y1156" s="62"/>
      <c r="Z1156" s="62"/>
      <c r="AA1156" s="62"/>
      <c r="AB1156" s="63"/>
      <c r="AC1156" s="62" t="str">
        <f t="shared" si="2"/>
        <v/>
      </c>
    </row>
    <row r="1157">
      <c r="U1157" s="62"/>
      <c r="V1157" s="62" t="str">
        <f>IFERROR(__xludf.DUMMYFUNCTION("SPLIT(U1157,"" "")"),"#VALUE!")</f>
        <v>#VALUE!</v>
      </c>
      <c r="W1157" s="62"/>
      <c r="X1157" s="62"/>
      <c r="Y1157" s="62"/>
      <c r="Z1157" s="62"/>
      <c r="AA1157" s="62"/>
      <c r="AB1157" s="63"/>
      <c r="AC1157" s="62" t="str">
        <f t="shared" si="2"/>
        <v/>
      </c>
    </row>
    <row r="1158">
      <c r="U1158" s="62"/>
      <c r="V1158" s="62" t="str">
        <f>IFERROR(__xludf.DUMMYFUNCTION("SPLIT(U1158,"" "")"),"#VALUE!")</f>
        <v>#VALUE!</v>
      </c>
      <c r="W1158" s="62"/>
      <c r="X1158" s="62"/>
      <c r="Y1158" s="62"/>
      <c r="Z1158" s="62"/>
      <c r="AA1158" s="62"/>
      <c r="AB1158" s="63"/>
      <c r="AC1158" s="62" t="str">
        <f t="shared" si="2"/>
        <v/>
      </c>
    </row>
    <row r="1159">
      <c r="U1159" s="62"/>
      <c r="V1159" s="62" t="str">
        <f>IFERROR(__xludf.DUMMYFUNCTION("SPLIT(U1159,"" "")"),"#VALUE!")</f>
        <v>#VALUE!</v>
      </c>
      <c r="W1159" s="62"/>
      <c r="X1159" s="62"/>
      <c r="Y1159" s="62"/>
      <c r="Z1159" s="62"/>
      <c r="AA1159" s="62"/>
      <c r="AB1159" s="63"/>
      <c r="AC1159" s="62" t="str">
        <f t="shared" si="2"/>
        <v/>
      </c>
    </row>
    <row r="1160">
      <c r="U1160" s="62"/>
      <c r="V1160" s="62" t="str">
        <f>IFERROR(__xludf.DUMMYFUNCTION("SPLIT(U1160,"" "")"),"#VALUE!")</f>
        <v>#VALUE!</v>
      </c>
      <c r="W1160" s="62"/>
      <c r="X1160" s="62"/>
      <c r="Y1160" s="62"/>
      <c r="Z1160" s="62"/>
      <c r="AA1160" s="62"/>
      <c r="AB1160" s="63"/>
      <c r="AC1160" s="62" t="str">
        <f t="shared" si="2"/>
        <v/>
      </c>
    </row>
    <row r="1161">
      <c r="U1161" s="62"/>
      <c r="V1161" s="62" t="str">
        <f>IFERROR(__xludf.DUMMYFUNCTION("SPLIT(U1161,"" "")"),"#VALUE!")</f>
        <v>#VALUE!</v>
      </c>
      <c r="W1161" s="62"/>
      <c r="X1161" s="62"/>
      <c r="Y1161" s="62"/>
      <c r="Z1161" s="62"/>
      <c r="AA1161" s="62"/>
      <c r="AB1161" s="63"/>
      <c r="AC1161" s="62" t="str">
        <f t="shared" si="2"/>
        <v/>
      </c>
    </row>
    <row r="1162">
      <c r="U1162" s="62"/>
      <c r="V1162" s="62" t="str">
        <f>IFERROR(__xludf.DUMMYFUNCTION("SPLIT(U1162,"" "")"),"#VALUE!")</f>
        <v>#VALUE!</v>
      </c>
      <c r="W1162" s="62"/>
      <c r="X1162" s="62"/>
      <c r="Y1162" s="62"/>
      <c r="Z1162" s="62"/>
      <c r="AA1162" s="62"/>
      <c r="AB1162" s="63"/>
      <c r="AC1162" s="62" t="str">
        <f t="shared" si="2"/>
        <v/>
      </c>
    </row>
    <row r="1163">
      <c r="U1163" s="62"/>
      <c r="V1163" s="62" t="str">
        <f>IFERROR(__xludf.DUMMYFUNCTION("SPLIT(U1163,"" "")"),"#VALUE!")</f>
        <v>#VALUE!</v>
      </c>
      <c r="W1163" s="62"/>
      <c r="X1163" s="62"/>
      <c r="Y1163" s="62"/>
      <c r="Z1163" s="62"/>
      <c r="AA1163" s="62"/>
      <c r="AB1163" s="63"/>
      <c r="AC1163" s="62" t="str">
        <f t="shared" si="2"/>
        <v/>
      </c>
    </row>
    <row r="1164">
      <c r="U1164" s="62"/>
      <c r="V1164" s="62" t="str">
        <f>IFERROR(__xludf.DUMMYFUNCTION("SPLIT(U1164,"" "")"),"#VALUE!")</f>
        <v>#VALUE!</v>
      </c>
      <c r="W1164" s="62"/>
      <c r="X1164" s="62"/>
      <c r="Y1164" s="62"/>
      <c r="Z1164" s="62"/>
      <c r="AA1164" s="62"/>
      <c r="AB1164" s="63"/>
      <c r="AC1164" s="62" t="str">
        <f t="shared" si="2"/>
        <v/>
      </c>
    </row>
    <row r="1165">
      <c r="U1165" s="62"/>
      <c r="V1165" s="62" t="str">
        <f>IFERROR(__xludf.DUMMYFUNCTION("SPLIT(U1165,"" "")"),"#VALUE!")</f>
        <v>#VALUE!</v>
      </c>
      <c r="W1165" s="62"/>
      <c r="X1165" s="62"/>
      <c r="Y1165" s="62"/>
      <c r="Z1165" s="62"/>
      <c r="AA1165" s="62"/>
      <c r="AB1165" s="63"/>
      <c r="AC1165" s="62" t="str">
        <f t="shared" si="2"/>
        <v/>
      </c>
    </row>
    <row r="1166">
      <c r="U1166" s="62"/>
      <c r="V1166" s="62" t="str">
        <f>IFERROR(__xludf.DUMMYFUNCTION("SPLIT(U1166,"" "")"),"#VALUE!")</f>
        <v>#VALUE!</v>
      </c>
      <c r="W1166" s="62"/>
      <c r="X1166" s="62"/>
      <c r="Y1166" s="62"/>
      <c r="Z1166" s="62"/>
      <c r="AA1166" s="62"/>
      <c r="AB1166" s="63"/>
      <c r="AC1166" s="62" t="str">
        <f t="shared" si="2"/>
        <v/>
      </c>
    </row>
    <row r="1167">
      <c r="U1167" s="62"/>
      <c r="V1167" s="62" t="str">
        <f>IFERROR(__xludf.DUMMYFUNCTION("SPLIT(U1167,"" "")"),"#VALUE!")</f>
        <v>#VALUE!</v>
      </c>
      <c r="W1167" s="62"/>
      <c r="X1167" s="62"/>
      <c r="Y1167" s="62"/>
      <c r="Z1167" s="62"/>
      <c r="AA1167" s="62"/>
      <c r="AB1167" s="63"/>
      <c r="AC1167" s="62" t="str">
        <f t="shared" si="2"/>
        <v/>
      </c>
    </row>
    <row r="1168">
      <c r="U1168" s="62"/>
      <c r="V1168" s="62" t="str">
        <f>IFERROR(__xludf.DUMMYFUNCTION("SPLIT(U1168,"" "")"),"#VALUE!")</f>
        <v>#VALUE!</v>
      </c>
      <c r="W1168" s="62"/>
      <c r="X1168" s="62"/>
      <c r="Y1168" s="62"/>
      <c r="Z1168" s="62"/>
      <c r="AA1168" s="62"/>
      <c r="AB1168" s="63"/>
      <c r="AC1168" s="62" t="str">
        <f t="shared" si="2"/>
        <v/>
      </c>
    </row>
    <row r="1169">
      <c r="U1169" s="62"/>
      <c r="V1169" s="62" t="str">
        <f>IFERROR(__xludf.DUMMYFUNCTION("SPLIT(U1169,"" "")"),"#VALUE!")</f>
        <v>#VALUE!</v>
      </c>
      <c r="W1169" s="62"/>
      <c r="X1169" s="62"/>
      <c r="Y1169" s="62"/>
      <c r="Z1169" s="62"/>
      <c r="AA1169" s="62"/>
      <c r="AB1169" s="63"/>
      <c r="AC1169" s="62" t="str">
        <f t="shared" si="2"/>
        <v/>
      </c>
    </row>
    <row r="1170">
      <c r="U1170" s="62"/>
      <c r="V1170" s="62" t="str">
        <f>IFERROR(__xludf.DUMMYFUNCTION("SPLIT(U1170,"" "")"),"#VALUE!")</f>
        <v>#VALUE!</v>
      </c>
      <c r="W1170" s="62"/>
      <c r="X1170" s="62"/>
      <c r="Y1170" s="62"/>
      <c r="Z1170" s="62"/>
      <c r="AA1170" s="62"/>
      <c r="AB1170" s="63"/>
      <c r="AC1170" s="62" t="str">
        <f t="shared" si="2"/>
        <v/>
      </c>
    </row>
    <row r="1171">
      <c r="U1171" s="62"/>
      <c r="V1171" s="62" t="str">
        <f>IFERROR(__xludf.DUMMYFUNCTION("SPLIT(U1171,"" "")"),"#VALUE!")</f>
        <v>#VALUE!</v>
      </c>
      <c r="W1171" s="62"/>
      <c r="X1171" s="62"/>
      <c r="Y1171" s="62"/>
      <c r="Z1171" s="62"/>
      <c r="AA1171" s="62"/>
      <c r="AB1171" s="63"/>
      <c r="AC1171" s="62" t="str">
        <f t="shared" si="2"/>
        <v/>
      </c>
    </row>
    <row r="1172">
      <c r="U1172" s="62"/>
      <c r="V1172" s="62" t="str">
        <f>IFERROR(__xludf.DUMMYFUNCTION("SPLIT(U1172,"" "")"),"#VALUE!")</f>
        <v>#VALUE!</v>
      </c>
      <c r="W1172" s="62"/>
      <c r="X1172" s="62"/>
      <c r="Y1172" s="62"/>
      <c r="Z1172" s="62"/>
      <c r="AA1172" s="62"/>
      <c r="AB1172" s="63"/>
      <c r="AC1172" s="62" t="str">
        <f t="shared" si="2"/>
        <v/>
      </c>
    </row>
    <row r="1173">
      <c r="U1173" s="62"/>
      <c r="V1173" s="62" t="str">
        <f>IFERROR(__xludf.DUMMYFUNCTION("SPLIT(U1173,"" "")"),"#VALUE!")</f>
        <v>#VALUE!</v>
      </c>
      <c r="W1173" s="62"/>
      <c r="X1173" s="62"/>
      <c r="Y1173" s="62"/>
      <c r="Z1173" s="62"/>
      <c r="AA1173" s="62"/>
      <c r="AB1173" s="63"/>
      <c r="AC1173" s="62" t="str">
        <f t="shared" si="2"/>
        <v/>
      </c>
    </row>
    <row r="1174">
      <c r="U1174" s="62"/>
      <c r="V1174" s="62" t="str">
        <f>IFERROR(__xludf.DUMMYFUNCTION("SPLIT(U1174,"" "")"),"#VALUE!")</f>
        <v>#VALUE!</v>
      </c>
      <c r="W1174" s="62"/>
      <c r="X1174" s="62"/>
      <c r="Y1174" s="62"/>
      <c r="Z1174" s="62"/>
      <c r="AA1174" s="62"/>
      <c r="AB1174" s="63"/>
      <c r="AC1174" s="62" t="str">
        <f t="shared" si="2"/>
        <v/>
      </c>
    </row>
    <row r="1175">
      <c r="U1175" s="62"/>
      <c r="V1175" s="62" t="str">
        <f>IFERROR(__xludf.DUMMYFUNCTION("SPLIT(U1175,"" "")"),"#VALUE!")</f>
        <v>#VALUE!</v>
      </c>
      <c r="W1175" s="62"/>
      <c r="X1175" s="62"/>
      <c r="Y1175" s="62"/>
      <c r="Z1175" s="62"/>
      <c r="AA1175" s="62"/>
      <c r="AB1175" s="63"/>
      <c r="AC1175" s="62" t="str">
        <f t="shared" si="2"/>
        <v/>
      </c>
    </row>
    <row r="1176">
      <c r="U1176" s="62"/>
      <c r="V1176" s="62" t="str">
        <f>IFERROR(__xludf.DUMMYFUNCTION("SPLIT(U1176,"" "")"),"#VALUE!")</f>
        <v>#VALUE!</v>
      </c>
      <c r="W1176" s="62"/>
      <c r="X1176" s="62"/>
      <c r="Y1176" s="62"/>
      <c r="Z1176" s="62"/>
      <c r="AA1176" s="62"/>
      <c r="AB1176" s="63"/>
      <c r="AC1176" s="62" t="str">
        <f t="shared" si="2"/>
        <v/>
      </c>
    </row>
    <row r="1177">
      <c r="U1177" s="62"/>
      <c r="V1177" s="62" t="str">
        <f>IFERROR(__xludf.DUMMYFUNCTION("SPLIT(U1177,"" "")"),"#VALUE!")</f>
        <v>#VALUE!</v>
      </c>
      <c r="W1177" s="62"/>
      <c r="X1177" s="62"/>
      <c r="Y1177" s="62"/>
      <c r="Z1177" s="62"/>
      <c r="AA1177" s="62"/>
      <c r="AB1177" s="63"/>
      <c r="AC1177" s="62" t="str">
        <f t="shared" si="2"/>
        <v/>
      </c>
    </row>
    <row r="1178">
      <c r="U1178" s="62"/>
      <c r="V1178" s="62" t="str">
        <f>IFERROR(__xludf.DUMMYFUNCTION("SPLIT(U1178,"" "")"),"#VALUE!")</f>
        <v>#VALUE!</v>
      </c>
      <c r="W1178" s="62"/>
      <c r="X1178" s="62"/>
      <c r="Y1178" s="62"/>
      <c r="Z1178" s="62"/>
      <c r="AA1178" s="62"/>
      <c r="AB1178" s="63"/>
      <c r="AC1178" s="62" t="str">
        <f t="shared" si="2"/>
        <v/>
      </c>
    </row>
    <row r="1179">
      <c r="U1179" s="62"/>
      <c r="V1179" s="62" t="str">
        <f>IFERROR(__xludf.DUMMYFUNCTION("SPLIT(U1179,"" "")"),"#VALUE!")</f>
        <v>#VALUE!</v>
      </c>
      <c r="W1179" s="62"/>
      <c r="X1179" s="62"/>
      <c r="Y1179" s="62"/>
      <c r="Z1179" s="62"/>
      <c r="AA1179" s="62"/>
      <c r="AB1179" s="63"/>
      <c r="AC1179" s="62" t="str">
        <f t="shared" si="2"/>
        <v/>
      </c>
    </row>
    <row r="1180">
      <c r="U1180" s="62"/>
      <c r="V1180" s="62" t="str">
        <f>IFERROR(__xludf.DUMMYFUNCTION("SPLIT(U1180,"" "")"),"#VALUE!")</f>
        <v>#VALUE!</v>
      </c>
      <c r="W1180" s="62"/>
      <c r="X1180" s="62"/>
      <c r="Y1180" s="62"/>
      <c r="Z1180" s="62"/>
      <c r="AA1180" s="62"/>
      <c r="AB1180" s="63"/>
      <c r="AC1180" s="62" t="str">
        <f t="shared" si="2"/>
        <v/>
      </c>
    </row>
    <row r="1181">
      <c r="U1181" s="62"/>
      <c r="V1181" s="62" t="str">
        <f>IFERROR(__xludf.DUMMYFUNCTION("SPLIT(U1181,"" "")"),"#VALUE!")</f>
        <v>#VALUE!</v>
      </c>
      <c r="W1181" s="62"/>
      <c r="X1181" s="62"/>
      <c r="Y1181" s="62"/>
      <c r="Z1181" s="62"/>
      <c r="AA1181" s="62"/>
      <c r="AB1181" s="63"/>
      <c r="AC1181" s="62" t="str">
        <f t="shared" si="2"/>
        <v/>
      </c>
    </row>
    <row r="1182">
      <c r="U1182" s="62"/>
      <c r="V1182" s="62" t="str">
        <f>IFERROR(__xludf.DUMMYFUNCTION("SPLIT(U1182,"" "")"),"#VALUE!")</f>
        <v>#VALUE!</v>
      </c>
      <c r="W1182" s="62"/>
      <c r="X1182" s="62"/>
      <c r="Y1182" s="62"/>
      <c r="Z1182" s="62"/>
      <c r="AA1182" s="62"/>
      <c r="AB1182" s="63"/>
      <c r="AC1182" s="62" t="str">
        <f t="shared" si="2"/>
        <v/>
      </c>
    </row>
    <row r="1183">
      <c r="U1183" s="62"/>
      <c r="V1183" s="62" t="str">
        <f>IFERROR(__xludf.DUMMYFUNCTION("SPLIT(U1183,"" "")"),"#VALUE!")</f>
        <v>#VALUE!</v>
      </c>
      <c r="W1183" s="62"/>
      <c r="X1183" s="62"/>
      <c r="Y1183" s="62"/>
      <c r="Z1183" s="62"/>
      <c r="AA1183" s="62"/>
      <c r="AB1183" s="63"/>
      <c r="AC1183" s="62" t="str">
        <f t="shared" si="2"/>
        <v/>
      </c>
    </row>
    <row r="1184">
      <c r="U1184" s="62"/>
      <c r="V1184" s="62" t="str">
        <f>IFERROR(__xludf.DUMMYFUNCTION("SPLIT(U1184,"" "")"),"#VALUE!")</f>
        <v>#VALUE!</v>
      </c>
      <c r="W1184" s="62"/>
      <c r="X1184" s="62"/>
      <c r="Y1184" s="62"/>
      <c r="Z1184" s="62"/>
      <c r="AA1184" s="62"/>
      <c r="AB1184" s="63"/>
      <c r="AC1184" s="62" t="str">
        <f t="shared" si="2"/>
        <v/>
      </c>
    </row>
    <row r="1185">
      <c r="U1185" s="62"/>
      <c r="V1185" s="62" t="str">
        <f>IFERROR(__xludf.DUMMYFUNCTION("SPLIT(U1185,"" "")"),"#VALUE!")</f>
        <v>#VALUE!</v>
      </c>
      <c r="W1185" s="62"/>
      <c r="X1185" s="62"/>
      <c r="Y1185" s="62"/>
      <c r="Z1185" s="62"/>
      <c r="AA1185" s="62"/>
      <c r="AB1185" s="63"/>
      <c r="AC1185" s="62" t="str">
        <f t="shared" si="2"/>
        <v/>
      </c>
    </row>
    <row r="1186">
      <c r="U1186" s="62"/>
      <c r="V1186" s="62" t="str">
        <f>IFERROR(__xludf.DUMMYFUNCTION("SPLIT(U1186,"" "")"),"#VALUE!")</f>
        <v>#VALUE!</v>
      </c>
      <c r="W1186" s="62"/>
      <c r="X1186" s="62"/>
      <c r="Y1186" s="62"/>
      <c r="Z1186" s="62"/>
      <c r="AA1186" s="62"/>
      <c r="AB1186" s="63"/>
      <c r="AC1186" s="62" t="str">
        <f t="shared" si="2"/>
        <v/>
      </c>
    </row>
    <row r="1187">
      <c r="U1187" s="62"/>
      <c r="V1187" s="62" t="str">
        <f>IFERROR(__xludf.DUMMYFUNCTION("SPLIT(U1187,"" "")"),"#VALUE!")</f>
        <v>#VALUE!</v>
      </c>
      <c r="W1187" s="62"/>
      <c r="X1187" s="62"/>
      <c r="Y1187" s="62"/>
      <c r="Z1187" s="62"/>
      <c r="AA1187" s="62"/>
      <c r="AB1187" s="63"/>
      <c r="AC1187" s="62" t="str">
        <f t="shared" si="2"/>
        <v/>
      </c>
    </row>
    <row r="1188">
      <c r="U1188" s="62"/>
      <c r="V1188" s="62" t="str">
        <f>IFERROR(__xludf.DUMMYFUNCTION("SPLIT(U1188,"" "")"),"#VALUE!")</f>
        <v>#VALUE!</v>
      </c>
      <c r="W1188" s="62"/>
      <c r="X1188" s="62"/>
      <c r="Y1188" s="62"/>
      <c r="Z1188" s="62"/>
      <c r="AA1188" s="62"/>
      <c r="AB1188" s="63"/>
      <c r="AC1188" s="62" t="str">
        <f t="shared" si="2"/>
        <v/>
      </c>
    </row>
    <row r="1189">
      <c r="U1189" s="62"/>
      <c r="V1189" s="62" t="str">
        <f>IFERROR(__xludf.DUMMYFUNCTION("SPLIT(U1189,"" "")"),"#VALUE!")</f>
        <v>#VALUE!</v>
      </c>
      <c r="W1189" s="62"/>
      <c r="X1189" s="62"/>
      <c r="Y1189" s="62"/>
      <c r="Z1189" s="62"/>
      <c r="AA1189" s="62"/>
      <c r="AB1189" s="63"/>
      <c r="AC1189" s="62" t="str">
        <f t="shared" si="2"/>
        <v/>
      </c>
    </row>
    <row r="1190">
      <c r="U1190" s="62"/>
      <c r="V1190" s="62" t="str">
        <f>IFERROR(__xludf.DUMMYFUNCTION("SPLIT(U1190,"" "")"),"#VALUE!")</f>
        <v>#VALUE!</v>
      </c>
      <c r="W1190" s="62"/>
      <c r="X1190" s="62"/>
      <c r="Y1190" s="62"/>
      <c r="Z1190" s="62"/>
      <c r="AA1190" s="62"/>
      <c r="AB1190" s="63"/>
      <c r="AC1190" s="62" t="str">
        <f t="shared" si="2"/>
        <v/>
      </c>
    </row>
    <row r="1191">
      <c r="U1191" s="62"/>
      <c r="V1191" s="62" t="str">
        <f>IFERROR(__xludf.DUMMYFUNCTION("SPLIT(U1191,"" "")"),"#VALUE!")</f>
        <v>#VALUE!</v>
      </c>
      <c r="W1191" s="62"/>
      <c r="X1191" s="62"/>
      <c r="Y1191" s="62"/>
      <c r="Z1191" s="62"/>
      <c r="AA1191" s="62"/>
      <c r="AB1191" s="63"/>
      <c r="AC1191" s="62" t="str">
        <f t="shared" si="2"/>
        <v/>
      </c>
    </row>
    <row r="1192">
      <c r="U1192" s="62"/>
      <c r="V1192" s="62" t="str">
        <f>IFERROR(__xludf.DUMMYFUNCTION("SPLIT(U1192,"" "")"),"#VALUE!")</f>
        <v>#VALUE!</v>
      </c>
      <c r="W1192" s="62"/>
      <c r="X1192" s="62"/>
      <c r="Y1192" s="62"/>
      <c r="Z1192" s="62"/>
      <c r="AA1192" s="62"/>
      <c r="AB1192" s="63"/>
      <c r="AC1192" s="62" t="str">
        <f t="shared" si="2"/>
        <v/>
      </c>
    </row>
    <row r="1193">
      <c r="U1193" s="62"/>
      <c r="V1193" s="62" t="str">
        <f>IFERROR(__xludf.DUMMYFUNCTION("SPLIT(U1193,"" "")"),"#VALUE!")</f>
        <v>#VALUE!</v>
      </c>
      <c r="W1193" s="62"/>
      <c r="X1193" s="62"/>
      <c r="Y1193" s="62"/>
      <c r="Z1193" s="62"/>
      <c r="AA1193" s="62"/>
      <c r="AB1193" s="63"/>
      <c r="AC1193" s="62" t="str">
        <f t="shared" si="2"/>
        <v/>
      </c>
    </row>
    <row r="1194">
      <c r="U1194" s="62"/>
      <c r="V1194" s="62" t="str">
        <f>IFERROR(__xludf.DUMMYFUNCTION("SPLIT(U1194,"" "")"),"#VALUE!")</f>
        <v>#VALUE!</v>
      </c>
      <c r="W1194" s="62"/>
      <c r="X1194" s="62"/>
      <c r="Y1194" s="62"/>
      <c r="Z1194" s="62"/>
      <c r="AA1194" s="62"/>
      <c r="AB1194" s="63"/>
      <c r="AC1194" s="62" t="str">
        <f t="shared" si="2"/>
        <v/>
      </c>
    </row>
    <row r="1195">
      <c r="U1195" s="62"/>
      <c r="V1195" s="62" t="str">
        <f>IFERROR(__xludf.DUMMYFUNCTION("SPLIT(U1195,"" "")"),"#VALUE!")</f>
        <v>#VALUE!</v>
      </c>
      <c r="W1195" s="62"/>
      <c r="X1195" s="62"/>
      <c r="Y1195" s="62"/>
      <c r="Z1195" s="62"/>
      <c r="AA1195" s="62"/>
      <c r="AB1195" s="63"/>
      <c r="AC1195" s="62" t="str">
        <f t="shared" si="2"/>
        <v/>
      </c>
    </row>
    <row r="1196">
      <c r="U1196" s="62"/>
      <c r="V1196" s="62" t="str">
        <f>IFERROR(__xludf.DUMMYFUNCTION("SPLIT(U1196,"" "")"),"#VALUE!")</f>
        <v>#VALUE!</v>
      </c>
      <c r="W1196" s="62"/>
      <c r="X1196" s="62"/>
      <c r="Y1196" s="62"/>
      <c r="Z1196" s="62"/>
      <c r="AA1196" s="62"/>
      <c r="AB1196" s="63"/>
      <c r="AC1196" s="62" t="str">
        <f t="shared" si="2"/>
        <v/>
      </c>
    </row>
    <row r="1197">
      <c r="U1197" s="62"/>
      <c r="V1197" s="62" t="str">
        <f>IFERROR(__xludf.DUMMYFUNCTION("SPLIT(U1197,"" "")"),"#VALUE!")</f>
        <v>#VALUE!</v>
      </c>
      <c r="W1197" s="62"/>
      <c r="X1197" s="62"/>
      <c r="Y1197" s="62"/>
      <c r="Z1197" s="62"/>
      <c r="AA1197" s="62"/>
      <c r="AB1197" s="63"/>
      <c r="AC1197" s="62" t="str">
        <f t="shared" si="2"/>
        <v/>
      </c>
    </row>
    <row r="1198">
      <c r="U1198" s="62"/>
      <c r="V1198" s="62" t="str">
        <f>IFERROR(__xludf.DUMMYFUNCTION("SPLIT(U1198,"" "")"),"#VALUE!")</f>
        <v>#VALUE!</v>
      </c>
      <c r="W1198" s="62"/>
      <c r="X1198" s="62"/>
      <c r="Y1198" s="62"/>
      <c r="Z1198" s="62"/>
      <c r="AA1198" s="62"/>
      <c r="AB1198" s="63"/>
      <c r="AC1198" s="62" t="str">
        <f t="shared" si="2"/>
        <v/>
      </c>
    </row>
    <row r="1199">
      <c r="U1199" s="62"/>
      <c r="V1199" s="62" t="str">
        <f>IFERROR(__xludf.DUMMYFUNCTION("SPLIT(U1199,"" "")"),"#VALUE!")</f>
        <v>#VALUE!</v>
      </c>
      <c r="W1199" s="62"/>
      <c r="X1199" s="62"/>
      <c r="Y1199" s="62"/>
      <c r="Z1199" s="62"/>
      <c r="AA1199" s="62"/>
      <c r="AB1199" s="63"/>
      <c r="AC1199" s="62" t="str">
        <f t="shared" si="2"/>
        <v/>
      </c>
    </row>
    <row r="1200">
      <c r="U1200" s="62"/>
      <c r="V1200" s="62" t="str">
        <f>IFERROR(__xludf.DUMMYFUNCTION("SPLIT(U1200,"" "")"),"#VALUE!")</f>
        <v>#VALUE!</v>
      </c>
      <c r="W1200" s="62"/>
      <c r="X1200" s="62"/>
      <c r="Y1200" s="62"/>
      <c r="Z1200" s="62"/>
      <c r="AA1200" s="62"/>
      <c r="AB1200" s="63"/>
      <c r="AC1200" s="62" t="str">
        <f t="shared" si="2"/>
        <v/>
      </c>
    </row>
    <row r="1201">
      <c r="U1201" s="62"/>
      <c r="V1201" s="62" t="str">
        <f>IFERROR(__xludf.DUMMYFUNCTION("SPLIT(U1201,"" "")"),"#VALUE!")</f>
        <v>#VALUE!</v>
      </c>
      <c r="W1201" s="62"/>
      <c r="X1201" s="62"/>
      <c r="Y1201" s="62"/>
      <c r="Z1201" s="62"/>
      <c r="AA1201" s="62"/>
      <c r="AB1201" s="63"/>
      <c r="AC1201" s="62" t="str">
        <f t="shared" si="2"/>
        <v/>
      </c>
    </row>
  </sheetData>
  <drawing r:id="rId1"/>
</worksheet>
</file>